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C:\Users\KarklinaI\Desktop\enerģijas ietaupījumu katalogs\"/>
    </mc:Choice>
  </mc:AlternateContent>
  <xr:revisionPtr revIDLastSave="0" documentId="13_ncr:1_{7264D97B-5B8C-4898-980F-241A8B146215}" xr6:coauthVersionLast="45" xr6:coauthVersionMax="45" xr10:uidLastSave="{00000000-0000-0000-0000-000000000000}"/>
  <bookViews>
    <workbookView xWindow="-110" yWindow="-110" windowWidth="19420" windowHeight="10420" tabRatio="816" xr2:uid="{00000000-000D-0000-FFFF-FFFF00000000}"/>
  </bookViews>
  <sheets>
    <sheet name="LIETOŠANA" sheetId="28" r:id="rId1"/>
    <sheet name="Apgaismojums" sheetId="21" r:id="rId2"/>
    <sheet name="Apkure (karstais ūdens) un ēkas" sheetId="16" r:id="rId3"/>
    <sheet name="Iekārtas" sheetId="23" r:id="rId4"/>
    <sheet name="Info pasākumi, monitorings" sheetId="25" r:id="rId5"/>
    <sheet name="Transports, ekobraukšana" sheetId="26" r:id="rId6"/>
    <sheet name="Ventilācija" sheetId="19" r:id="rId7"/>
    <sheet name="Automobiļi" sheetId="13" state="hidden" r:id="rId8"/>
    <sheet name="Dati apkure" sheetId="15" state="hidden" r:id="rId9"/>
    <sheet name="Dati karstais" sheetId="18" state="hidden" r:id="rId10"/>
    <sheet name="Dati ventilacija" sheetId="20" state="hidden" r:id="rId11"/>
    <sheet name="Dati apgaismojums" sheetId="22" state="hidden" r:id="rId12"/>
    <sheet name="Dati iekārtas" sheetId="24" state="hidden" r:id="rId13"/>
  </sheets>
  <definedNames>
    <definedName name="_Ref475094488" localSheetId="2">'Apkure (karstais ūdens) un ēkas'!$B$30</definedName>
    <definedName name="_Toc421707928" localSheetId="2">'Apkure (karstais ūdens) un ēkas'!$B$11</definedName>
    <definedName name="_Toc423683921" localSheetId="3">Iekārtas!$C$15</definedName>
    <definedName name="_Toc435540779" localSheetId="2">'Apkure (karstais ūdens) un ēkas'!$C$32</definedName>
    <definedName name="_Toc435540791" localSheetId="1">Apgaismojums!$B$4</definedName>
    <definedName name="_Toc435540795" localSheetId="1">Apgaismojums!$B$5</definedName>
    <definedName name="_Toc435540799" localSheetId="1">Apgaismojums!$B$14</definedName>
    <definedName name="_Toc435540814" localSheetId="2">'Apkure (karstais ūdens) un ēkas'!$B$19</definedName>
    <definedName name="_Toc435540817" localSheetId="2">'Apkure (karstais ūdens) un ēkas'!#REF!</definedName>
    <definedName name="_Toc475099980" localSheetId="2">'Apkure (karstais ūdens) un ēkas'!$B$8</definedName>
    <definedName name="_Toc475099987" localSheetId="3">Iekārtas!$C$4</definedName>
    <definedName name="_Toc475099988" localSheetId="3">Iekārtas!$C$5</definedName>
    <definedName name="_Toc475100012" localSheetId="3">Iekārtas!$C$8</definedName>
    <definedName name="_Toc475100015" localSheetId="3">Iekārtas!$C$9</definedName>
    <definedName name="_Toc475100019" localSheetId="2">'Apkure (karstais ūdens) un ēkas'!#REF!</definedName>
    <definedName name="_Toc475100022" localSheetId="2">'Apkure (karstais ūdens) un ēkas'!$C$30</definedName>
    <definedName name="_Toc475100028" localSheetId="2">'Apkure (karstais ūdens) un ēkas'!$C$34</definedName>
    <definedName name="_Toc475100038" localSheetId="3">Iekārtas!$C$19</definedName>
    <definedName name="_Toc475100045" localSheetId="1">Apgaismojums!$B$8</definedName>
    <definedName name="_Toc475100051" localSheetId="1">Apgaismojums!$B$11</definedName>
    <definedName name="_Toc475100064" localSheetId="5">'Transports, ekobraukšana'!$B$7</definedName>
    <definedName name="_Toc475100068" localSheetId="2">'Apkure (karstais ūdens) un ēkas'!$C$19</definedName>
    <definedName name="_Toc475100074" localSheetId="2">'Apkure (karstais ūdens) un ēkas'!$C$24</definedName>
    <definedName name="Dazadi">'Dati iekārtas'!$A$2:$A$3</definedName>
    <definedName name="Durvis1" localSheetId="11">'Dati apgaismojums'!#REF!</definedName>
    <definedName name="Durvis1" localSheetId="12">'Dati iekārtas'!#REF!</definedName>
    <definedName name="Durvis1" localSheetId="9">'Dati karstais'!#REF!</definedName>
    <definedName name="Durvis1" localSheetId="10">'Dati ventilacija'!#REF!</definedName>
    <definedName name="Durvis1">'Dati apkure'!$B$348:$B$349</definedName>
    <definedName name="Durvis2" localSheetId="11">'Dati apgaismojums'!#REF!</definedName>
    <definedName name="Durvis2" localSheetId="12">'Dati iekārtas'!#REF!</definedName>
    <definedName name="Durvis2" localSheetId="9">'Dati karstais'!#REF!</definedName>
    <definedName name="Durvis2" localSheetId="10">'Dati ventilacija'!#REF!</definedName>
    <definedName name="Durvis2">'Dati apkure'!$C$348:$C$349</definedName>
    <definedName name="Gaismeklisbez" localSheetId="12">'Dati iekārtas'!#REF!</definedName>
    <definedName name="Gaismeklisbez">'Dati apgaismojums'!$A$18:$A$26</definedName>
    <definedName name="Karstais1" localSheetId="11">'Dati apgaismojums'!$A$2:$A$7</definedName>
    <definedName name="Karstais1" localSheetId="12">'Dati iekārtas'!$A$7:$A$12</definedName>
    <definedName name="Karstais1" localSheetId="10">'Dati ventilacija'!$A$2:$A$7</definedName>
    <definedName name="Karstais1">'Dati karstais'!$A$2:$A$7</definedName>
    <definedName name="Karstais2" localSheetId="11">'Dati apgaismojums'!$B$2:$B$7</definedName>
    <definedName name="Karstais2" localSheetId="12">'Dati iekārtas'!$B$7:$B$12</definedName>
    <definedName name="Karstais2" localSheetId="10">'Dati ventilacija'!$B$2:$B$7</definedName>
    <definedName name="Karstais2">'Dati karstais'!$B$2:$B$7</definedName>
    <definedName name="Karstaismaterials" localSheetId="11">'Dati apgaismojums'!#REF!</definedName>
    <definedName name="Karstaismaterials" localSheetId="12">'Dati iekārtas'!#REF!</definedName>
    <definedName name="Karstaismaterials" localSheetId="10">'Dati ventilacija'!#REF!</definedName>
    <definedName name="Karstaismaterials">'Dati karstais'!$B$72:$B$73</definedName>
    <definedName name="Karstaistilpums" localSheetId="11">'Dati apgaismojums'!$C$2:$C$11</definedName>
    <definedName name="Karstaistilpums" localSheetId="12">'Dati iekārtas'!$C$7:$C$12</definedName>
    <definedName name="Karstaistilpums" localSheetId="10">'Dati ventilacija'!$C$2:$C$11</definedName>
    <definedName name="Karstaistilpums">'Dati karstais'!$C$2:$C$11</definedName>
    <definedName name="Klasepec">'Dati iekārtas'!$B$63:$B$67</definedName>
    <definedName name="Klasepec1">'Dati iekārtas'!$B$70:$B$74</definedName>
    <definedName name="Klasepec2">'Dati iekārtas'!$B$77:$B$81</definedName>
    <definedName name="Klasepirms">'Dati iekārtas'!$A$63:$A$67</definedName>
    <definedName name="Klasepirms1">'Dati iekārtas'!$A$70:$A$74</definedName>
    <definedName name="Klasepirms2">'Dati iekārtas'!$A$77:$A$81</definedName>
    <definedName name="kWhapk" localSheetId="11">'Dati apgaismojums'!#REF!</definedName>
    <definedName name="kWhapk" localSheetId="12">'Dati iekārtas'!#REF!</definedName>
    <definedName name="kWhapk" localSheetId="9">'Dati karstais'!$C$24:$C$32</definedName>
    <definedName name="kWhapk" localSheetId="10">'Dati ventilacija'!$C$26:$C$34</definedName>
    <definedName name="kWhapk">'Dati apkure'!$C$24:$C$38</definedName>
    <definedName name="Logi1" localSheetId="11">'Dati apgaismojums'!#REF!</definedName>
    <definedName name="Logi1" localSheetId="12">'Dati iekārtas'!#REF!</definedName>
    <definedName name="Logi1" localSheetId="9">'Dati karstais'!#REF!</definedName>
    <definedName name="Logi1" localSheetId="10">'Dati ventilacija'!#REF!</definedName>
    <definedName name="Logi1">'Dati apkure'!$B$340:$B$342</definedName>
    <definedName name="Logi2" localSheetId="11">'Dati apgaismojums'!#REF!</definedName>
    <definedName name="Logi2" localSheetId="12">'Dati iekārtas'!#REF!</definedName>
    <definedName name="Logi2" localSheetId="9">'Dati karstais'!#REF!</definedName>
    <definedName name="Logi2" localSheetId="10">'Dati ventilacija'!#REF!</definedName>
    <definedName name="Logi2">'Dati apkure'!$C$340:$C$341</definedName>
    <definedName name="Logi3" localSheetId="11">'Dati apgaismojums'!#REF!</definedName>
    <definedName name="Logi3" localSheetId="12">'Dati iekārtas'!#REF!</definedName>
    <definedName name="Logi3" localSheetId="9">'Dati karstais'!#REF!</definedName>
    <definedName name="Logi3" localSheetId="10">'Dati ventilacija'!#REF!</definedName>
    <definedName name="Logi3">'Dati apkure'!$C$352:$C$353</definedName>
    <definedName name="Parsegumsapk" localSheetId="11">'Dati apgaismojums'!#REF!</definedName>
    <definedName name="Parsegumsapk" localSheetId="12">'Dati iekārtas'!#REF!</definedName>
    <definedName name="Parsegumsapk" localSheetId="9">'Dati karstais'!#REF!</definedName>
    <definedName name="Parsegumsapk" localSheetId="10">'Dati ventilacija'!#REF!</definedName>
    <definedName name="Parsegumsapk">'Dati apkure'!$C$194:$C$195</definedName>
    <definedName name="Parsegumsapk1" localSheetId="11">'Dati apgaismojums'!#REF!</definedName>
    <definedName name="Parsegumsapk1" localSheetId="12">'Dati iekārtas'!#REF!</definedName>
    <definedName name="Parsegumsapk1" localSheetId="9">'Dati karstais'!#REF!</definedName>
    <definedName name="Parsegumsapk1" localSheetId="10">'Dati ventilacija'!#REF!</definedName>
    <definedName name="Parsegumsapk1">'Dati apkure'!$C$252:$C$253</definedName>
    <definedName name="Parsegumsapk2" localSheetId="11">'Dati apgaismojums'!#REF!</definedName>
    <definedName name="Parsegumsapk2" localSheetId="12">'Dati iekārtas'!#REF!</definedName>
    <definedName name="Parsegumsapk2" localSheetId="9">'Dati karstais'!#REF!</definedName>
    <definedName name="Parsegumsapk2" localSheetId="10">'Dati ventilacija'!#REF!</definedName>
    <definedName name="Parsegumsapk2">'Dati apkure'!$C$290:$C$291</definedName>
    <definedName name="Pecapk" localSheetId="11">'Dati apgaismojums'!$B$2:$B$7</definedName>
    <definedName name="Pecapk" localSheetId="12">'Dati iekārtas'!$B$7:$B$12</definedName>
    <definedName name="Pecapk" localSheetId="9">'Dati karstais'!$B$2:$B$7</definedName>
    <definedName name="Pecapk" localSheetId="10">'Dati ventilacija'!$B$2:$B$7</definedName>
    <definedName name="Pecapk">'Dati apkure'!$B$2:$B$7</definedName>
    <definedName name="Pecapk1" localSheetId="11">'Dati apgaismojums'!#REF!</definedName>
    <definedName name="Pecapk1" localSheetId="12">'Dati iekārtas'!#REF!</definedName>
    <definedName name="Pecapk1" localSheetId="9">'Dati karstais'!$B$24:$B$27</definedName>
    <definedName name="Pecapk1" localSheetId="10">'Dati ventilacija'!$B$26:$B$29</definedName>
    <definedName name="Pecapk1">'Dati apkure'!$B$24:$B$27</definedName>
    <definedName name="Pecapk2" localSheetId="11">'Dati apgaismojums'!#REF!</definedName>
    <definedName name="Pecapk2" localSheetId="12">'Dati iekārtas'!#REF!</definedName>
    <definedName name="Pecapk2" localSheetId="9">'Dati karstais'!$B$34:$B$52</definedName>
    <definedName name="Pecapk2" localSheetId="10">'Dati ventilacija'!#REF!</definedName>
    <definedName name="Pecapk2">'Dati apkure'!$B$42:$B$60</definedName>
    <definedName name="Pirmsapk" localSheetId="11">'Dati apgaismojums'!$A$2:$A$7</definedName>
    <definedName name="Pirmsapk" localSheetId="12">'Dati iekārtas'!$A$7:$A$12</definedName>
    <definedName name="Pirmsapk" localSheetId="9">'Dati karstais'!$A$2:$A$7</definedName>
    <definedName name="Pirmsapk" localSheetId="10">'Dati ventilacija'!$A$2:$A$7</definedName>
    <definedName name="Pirmsapk">'Dati apkure'!$A$2:$A$7</definedName>
    <definedName name="Pirmsapk1" localSheetId="11">'Dati apgaismojums'!#REF!</definedName>
    <definedName name="Pirmsapk1" localSheetId="12">'Dati iekārtas'!#REF!</definedName>
    <definedName name="Pirmsapk1" localSheetId="9">'Dati karstais'!$A$24:$A$27</definedName>
    <definedName name="Pirmsapk1" localSheetId="10">'Dati ventilacija'!$A$26:$A$29</definedName>
    <definedName name="Pirmsapk1">'Dati apkure'!$A$24:$A$27</definedName>
    <definedName name="Pirmsapk2" localSheetId="11">'Dati apgaismojums'!#REF!</definedName>
    <definedName name="Pirmsapk2" localSheetId="12">'Dati iekārtas'!#REF!</definedName>
    <definedName name="Pirmsapk2" localSheetId="9">'Dati karstais'!$A$34:$A$36</definedName>
    <definedName name="Pirmsapk2" localSheetId="10">'Dati ventilacija'!#REF!</definedName>
    <definedName name="Pirmsapk2">'Dati apkure'!$A$42:$A$44</definedName>
    <definedName name="Platibaapk" localSheetId="11">'Dati apgaismojums'!#REF!</definedName>
    <definedName name="Platibaapk" localSheetId="12">'Dati iekārtas'!#REF!</definedName>
    <definedName name="Platibaapk" localSheetId="9">'Dati karstais'!$B$56:$B$59</definedName>
    <definedName name="Platibaapk" localSheetId="10">'Dati ventilacija'!$B$31:$B$34</definedName>
    <definedName name="Platibaapk">'Dati apkure'!$B$64:$B$67</definedName>
    <definedName name="Platibaventil" localSheetId="11">'Dati apgaismojums'!$C$2:$C$27</definedName>
    <definedName name="Platibaventil" localSheetId="12">'Dati iekārtas'!$C$8:$C$24</definedName>
    <definedName name="Platibaventil">'Dati ventilacija'!$C$2:$C$31</definedName>
    <definedName name="Sienas" localSheetId="11">'Dati apgaismojums'!#REF!</definedName>
    <definedName name="Sienas" localSheetId="12">'Dati iekārtas'!#REF!</definedName>
    <definedName name="Sienas" localSheetId="9">'Dati karstais'!#REF!</definedName>
    <definedName name="Sienas" localSheetId="10">'Dati ventilacija'!#REF!</definedName>
    <definedName name="Sienas">'Dati apkure'!$C$309:$C$311</definedName>
    <definedName name="Siltinaapk1" localSheetId="11">'Dati apgaismojums'!#REF!</definedName>
    <definedName name="Siltinaapk1" localSheetId="12">'Dati iekārtas'!#REF!</definedName>
    <definedName name="Siltinaapk1" localSheetId="9">'Dati karstais'!#REF!</definedName>
    <definedName name="Siltinaapk1" localSheetId="10">'Dati ventilacija'!#REF!</definedName>
    <definedName name="Siltinaapk1">'Dati apkure'!$B$213:$B$215</definedName>
    <definedName name="Siltinaapk2" localSheetId="11">'Dati apgaismojums'!#REF!</definedName>
    <definedName name="Siltinaapk2" localSheetId="12">'Dati iekārtas'!#REF!</definedName>
    <definedName name="Siltinaapk2" localSheetId="9">'Dati karstais'!#REF!</definedName>
    <definedName name="Siltinaapk2" localSheetId="10">'Dati ventilacija'!#REF!</definedName>
    <definedName name="Siltinaapk2">'Dati apkure'!$B$233:$B$234</definedName>
    <definedName name="Siltinaapk3" localSheetId="11">'Dati apgaismojums'!#REF!</definedName>
    <definedName name="Siltinaapk3" localSheetId="12">'Dati iekārtas'!#REF!</definedName>
    <definedName name="Siltinaapk3" localSheetId="9">'Dati karstais'!#REF!</definedName>
    <definedName name="Siltinaapk3" localSheetId="10">'Dati ventilacija'!#REF!</definedName>
    <definedName name="Siltinaapk3">'Dati apkure'!$B$252:$B$253</definedName>
    <definedName name="Siltinaapk4" localSheetId="11">'Dati apgaismojums'!#REF!</definedName>
    <definedName name="Siltinaapk4" localSheetId="12">'Dati iekārtas'!#REF!</definedName>
    <definedName name="Siltinaapk4" localSheetId="9">'Dati karstais'!#REF!</definedName>
    <definedName name="Siltinaapk4" localSheetId="10">'Dati ventilacija'!#REF!</definedName>
    <definedName name="Siltinaapk4">'Dati apkure'!$B$290:$B$295</definedName>
    <definedName name="Siltinaapk5" localSheetId="11">'Dati apgaismojums'!#REF!</definedName>
    <definedName name="Siltinaapk5" localSheetId="12">'Dati iekārtas'!#REF!</definedName>
    <definedName name="Siltinaapk5" localSheetId="9">'Dati karstais'!#REF!</definedName>
    <definedName name="Siltinaapk5" localSheetId="10">'Dati ventilacija'!#REF!</definedName>
    <definedName name="Siltinaapk5">'Dati apkure'!$B$309:$B$311</definedName>
    <definedName name="Siltinapk" localSheetId="11">'Dati apgaismojums'!#REF!</definedName>
    <definedName name="Siltinapk" localSheetId="12">'Dati iekārtas'!#REF!</definedName>
    <definedName name="Siltinapk" localSheetId="9">'Dati karstais'!#REF!</definedName>
    <definedName name="Siltinapk" localSheetId="10">'Dati ventilacija'!#REF!</definedName>
    <definedName name="Siltinapk">'Dati apkure'!$B$194:$B$199</definedName>
    <definedName name="Sistemaapk" localSheetId="11">'Dati apgaismojums'!#REF!</definedName>
    <definedName name="Sistemaapk" localSheetId="12">'Dati iekārtas'!#REF!</definedName>
    <definedName name="Sistemaapk" localSheetId="9">'Dati karstais'!$B$95:$B$96</definedName>
    <definedName name="Sistemaapk" localSheetId="10">'Dati ventilacija'!#REF!</definedName>
    <definedName name="Sistemaapk">'Dati apkure'!$B$92:$B$93</definedName>
    <definedName name="Stundas" localSheetId="12">'Dati iekārtas'!$B$7:$B$12</definedName>
    <definedName name="Stundas">'Dati apgaismojums'!$B$2:$B$10</definedName>
    <definedName name="Tilpumsapk" localSheetId="11">'Dati apgaismojums'!$C$2:$C$11</definedName>
    <definedName name="Tilpumsapk" localSheetId="12">'Dati iekārtas'!$C$7:$C$12</definedName>
    <definedName name="Tilpumsapk" localSheetId="9">'Dati karstais'!$C$2:$C$11</definedName>
    <definedName name="Tilpumsapk" localSheetId="10">'Dati ventilacija'!$C$2:$C$11</definedName>
    <definedName name="Tilpumsapk">'Dati apkure'!$C$2:$C$11</definedName>
    <definedName name="Tvertnesapkure1" localSheetId="11">'Dati apgaismojums'!$A$2:$A$7</definedName>
    <definedName name="Tvertnesapkure1" localSheetId="12">'Dati iekārtas'!$A$7:$A$12</definedName>
    <definedName name="Tvertnesapkure1" localSheetId="9">'Dati karstais'!$A$2:$A$7</definedName>
    <definedName name="Tvertnesapkure1" localSheetId="10">'Dati ventilacija'!$A$2:$A$7</definedName>
    <definedName name="Tvertnesapkure1">'Dati apkure'!$A$2:$A$7</definedName>
    <definedName name="Veidsapk" localSheetId="11">'Dati apgaismojums'!#REF!</definedName>
    <definedName name="Veidsapk" localSheetId="12">'Dati iekārtas'!#REF!</definedName>
    <definedName name="Veidsapk" localSheetId="9">'Dati karstais'!$C$34:$C$36</definedName>
    <definedName name="Veidsapk" localSheetId="10">'Dati ventilacija'!#REF!</definedName>
    <definedName name="Veidsapk">'Dati apkure'!$C$42:$C$44</definedName>
    <definedName name="Ventilacijapec" localSheetId="11">'Dati apgaismojums'!$B$2:$B$10</definedName>
    <definedName name="Ventilacijapec" localSheetId="12">'Dati iekārtas'!$B$7:$B$12</definedName>
    <definedName name="Ventilacijapec">'Dati ventilacija'!$B$2:$B$10</definedName>
    <definedName name="Ventilacijapirms" localSheetId="11">'Dati apgaismojums'!$A$2:$A$11</definedName>
    <definedName name="Ventilacijapirms" localSheetId="12">'Dati iekārtas'!$A$7:$A$12</definedName>
    <definedName name="Ventilacijapirms">'Dati ventilacija'!$A$2:$A$11</definedName>
    <definedName name="Zinojums">'Dati iekārtas'!$A$8:$A$12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1" i="16" l="1"/>
  <c r="K11" i="16"/>
  <c r="G8" i="16"/>
  <c r="J8" i="16" s="1"/>
  <c r="N8" i="16" l="1"/>
  <c r="L26" i="23"/>
  <c r="N26" i="23" s="1"/>
  <c r="P27" i="23"/>
  <c r="P28" i="23"/>
  <c r="P29" i="23"/>
  <c r="L29" i="23"/>
  <c r="N29" i="23" s="1"/>
  <c r="L28" i="23"/>
  <c r="N28" i="23" s="1"/>
  <c r="L27" i="23"/>
  <c r="N27" i="23" s="1"/>
  <c r="N45" i="16"/>
  <c r="P45" i="16" s="1"/>
  <c r="L6" i="25"/>
  <c r="L5" i="25"/>
  <c r="L7" i="25"/>
  <c r="L11" i="25"/>
  <c r="L12" i="25"/>
  <c r="L13" i="25"/>
  <c r="L14" i="25"/>
  <c r="L15" i="25"/>
  <c r="L18" i="25"/>
  <c r="L19" i="25"/>
  <c r="L20" i="25"/>
  <c r="L21" i="25"/>
  <c r="L22" i="25"/>
  <c r="L25" i="25"/>
  <c r="P26" i="23" l="1"/>
  <c r="R45" i="16"/>
  <c r="H7" i="25"/>
  <c r="H6" i="25"/>
  <c r="H5" i="25"/>
  <c r="H15" i="25"/>
  <c r="H14" i="25"/>
  <c r="H13" i="25"/>
  <c r="H12" i="25"/>
  <c r="H11" i="25"/>
  <c r="J12" i="25" l="1"/>
  <c r="J11" i="25"/>
  <c r="J13" i="25"/>
  <c r="J15" i="25"/>
  <c r="J14" i="25"/>
  <c r="J5" i="25"/>
  <c r="J6" i="25"/>
  <c r="J7" i="25"/>
  <c r="H25" i="25"/>
  <c r="J25" i="25" s="1"/>
  <c r="H22" i="25" l="1"/>
  <c r="J22" i="25" s="1"/>
  <c r="H21" i="25"/>
  <c r="J21" i="25" s="1"/>
  <c r="H20" i="25"/>
  <c r="J20" i="25" s="1"/>
  <c r="H19" i="25"/>
  <c r="J19" i="25" s="1"/>
  <c r="H18" i="25"/>
  <c r="J18" i="25" s="1"/>
  <c r="N25" i="16"/>
  <c r="N26" i="16"/>
  <c r="N4" i="16"/>
  <c r="I21" i="26"/>
  <c r="K21" i="26" s="1"/>
  <c r="I20" i="26"/>
  <c r="K20" i="26" s="1"/>
  <c r="N42" i="16"/>
  <c r="P42" i="16" s="1"/>
  <c r="N40" i="16"/>
  <c r="P40" i="16" s="1"/>
  <c r="L22" i="23"/>
  <c r="N22" i="23" s="1"/>
  <c r="N37" i="16"/>
  <c r="P37" i="16" s="1"/>
  <c r="P22" i="23" l="1"/>
  <c r="M21" i="26"/>
  <c r="M20" i="26"/>
  <c r="R40" i="16"/>
  <c r="R42" i="16"/>
  <c r="R37" i="16"/>
  <c r="I5" i="26" l="1"/>
  <c r="I4" i="26"/>
  <c r="K5" i="26" l="1"/>
  <c r="M5" i="26"/>
  <c r="K4" i="26"/>
  <c r="M4" i="26"/>
  <c r="I14" i="26"/>
  <c r="I17" i="26"/>
  <c r="I16" i="26"/>
  <c r="I15" i="26"/>
  <c r="I11" i="26"/>
  <c r="I10" i="26"/>
  <c r="I9" i="26"/>
  <c r="I8" i="26"/>
  <c r="L4" i="19"/>
  <c r="P4" i="19" s="1"/>
  <c r="N34" i="16"/>
  <c r="R34" i="16" s="1"/>
  <c r="K17" i="26" l="1"/>
  <c r="M17" i="26"/>
  <c r="K16" i="26"/>
  <c r="M16" i="26"/>
  <c r="K15" i="26"/>
  <c r="M15" i="26"/>
  <c r="K14" i="26"/>
  <c r="M14" i="26"/>
  <c r="K11" i="26"/>
  <c r="M11" i="26"/>
  <c r="K10" i="26"/>
  <c r="M10" i="26"/>
  <c r="K9" i="26"/>
  <c r="M9" i="26"/>
  <c r="K8" i="26"/>
  <c r="M8" i="26"/>
  <c r="N30" i="16"/>
  <c r="P34" i="16"/>
  <c r="N32" i="16"/>
  <c r="P30" i="16" l="1"/>
  <c r="R30" i="16"/>
  <c r="P32" i="16"/>
  <c r="R32" i="16"/>
  <c r="N24" i="16"/>
  <c r="N21" i="16"/>
  <c r="N20" i="16"/>
  <c r="N19" i="16"/>
  <c r="P25" i="16" l="1"/>
  <c r="R25" i="16"/>
  <c r="P21" i="16"/>
  <c r="R21" i="16"/>
  <c r="P24" i="16"/>
  <c r="R24" i="16"/>
  <c r="P26" i="16"/>
  <c r="R26" i="16"/>
  <c r="P19" i="16"/>
  <c r="R19" i="16"/>
  <c r="P20" i="16"/>
  <c r="R20" i="16"/>
  <c r="L19" i="23"/>
  <c r="L17" i="23"/>
  <c r="L15" i="23"/>
  <c r="L9" i="23"/>
  <c r="P9" i="23" s="1"/>
  <c r="L8" i="23"/>
  <c r="P8" i="23" s="1"/>
  <c r="L12" i="23"/>
  <c r="P12" i="23" s="1"/>
  <c r="L11" i="23"/>
  <c r="P11" i="23" s="1"/>
  <c r="L5" i="23"/>
  <c r="L4" i="23"/>
  <c r="M14" i="16"/>
  <c r="K14" i="16"/>
  <c r="I14" i="16" l="1"/>
  <c r="N19" i="23"/>
  <c r="P19" i="23"/>
  <c r="N17" i="23"/>
  <c r="P17" i="23"/>
  <c r="N15" i="23"/>
  <c r="P15" i="23"/>
  <c r="N5" i="23"/>
  <c r="P5" i="23"/>
  <c r="N4" i="23"/>
  <c r="P4" i="23"/>
  <c r="I15" i="16"/>
  <c r="I16" i="16"/>
  <c r="I12" i="16"/>
  <c r="I13" i="16"/>
  <c r="N13" i="16" s="1"/>
  <c r="I11" i="16"/>
  <c r="N11" i="16" l="1"/>
  <c r="P13" i="16"/>
  <c r="R13" i="16"/>
  <c r="N14" i="16"/>
  <c r="N16" i="16"/>
  <c r="N15" i="16"/>
  <c r="N12" i="16"/>
  <c r="P12" i="16" l="1"/>
  <c r="R12" i="16"/>
  <c r="P15" i="16"/>
  <c r="R15" i="16"/>
  <c r="P16" i="16"/>
  <c r="R16" i="16"/>
  <c r="P14" i="16"/>
  <c r="R14" i="16"/>
  <c r="P11" i="16"/>
  <c r="R11" i="16"/>
  <c r="P8" i="16" l="1"/>
  <c r="R8" i="16"/>
  <c r="N4" i="19"/>
  <c r="P4" i="16" l="1"/>
  <c r="R4" i="16"/>
  <c r="K14" i="21"/>
  <c r="K11" i="21"/>
  <c r="K8" i="21"/>
  <c r="K5" i="21"/>
  <c r="K4" i="21"/>
  <c r="M4" i="21" l="1"/>
  <c r="O4" i="21"/>
  <c r="M5" i="21"/>
  <c r="O5" i="21"/>
  <c r="M8" i="21"/>
  <c r="O8" i="21"/>
  <c r="M11" i="21"/>
  <c r="O11" i="21"/>
  <c r="M14" i="21"/>
  <c r="O14" i="21"/>
  <c r="J28" i="18" l="1"/>
  <c r="J104" i="15"/>
  <c r="J98" i="15"/>
  <c r="J88" i="15"/>
  <c r="J93" i="15"/>
  <c r="J344" i="15" l="1"/>
  <c r="J340" i="15"/>
  <c r="B20" i="24" l="1"/>
  <c r="B19" i="24"/>
  <c r="B18" i="24"/>
  <c r="B17" i="24"/>
  <c r="B16" i="24"/>
  <c r="B15" i="24"/>
  <c r="D14" i="24"/>
  <c r="C14" i="24"/>
  <c r="A15" i="24" s="1"/>
  <c r="D77" i="24"/>
  <c r="J79" i="24"/>
  <c r="K79" i="24"/>
  <c r="L79" i="24"/>
  <c r="M79" i="24"/>
  <c r="N79" i="24"/>
  <c r="I79" i="24"/>
  <c r="C77" i="24" s="1"/>
  <c r="C63" i="24"/>
  <c r="J72" i="24"/>
  <c r="D70" i="24" s="1"/>
  <c r="K72" i="24"/>
  <c r="L72" i="24"/>
  <c r="M72" i="24"/>
  <c r="N72" i="24"/>
  <c r="I72" i="24"/>
  <c r="C70" i="24" s="1"/>
  <c r="D63" i="24"/>
  <c r="H60" i="24"/>
  <c r="H61" i="24" s="1"/>
  <c r="M30" i="24"/>
  <c r="F47" i="24" s="1"/>
  <c r="H2" i="24"/>
  <c r="H8" i="24"/>
  <c r="H19" i="22"/>
  <c r="H18" i="22"/>
  <c r="A18" i="24" l="1"/>
  <c r="A17" i="24"/>
  <c r="A19" i="24"/>
  <c r="A16" i="24"/>
  <c r="A20" i="24"/>
  <c r="F39" i="24"/>
  <c r="F44" i="24"/>
  <c r="F25" i="24"/>
  <c r="F27" i="24"/>
  <c r="F42" i="24"/>
  <c r="F38" i="24"/>
  <c r="F34" i="24"/>
  <c r="F49" i="24"/>
  <c r="F45" i="24"/>
  <c r="F28" i="24"/>
  <c r="F46" i="24"/>
  <c r="F30" i="24"/>
  <c r="F26" i="24"/>
  <c r="F41" i="24"/>
  <c r="F37" i="24"/>
  <c r="F33" i="24"/>
  <c r="F48" i="24"/>
  <c r="F50" i="24"/>
  <c r="F32" i="24"/>
  <c r="F35" i="24"/>
  <c r="F29" i="24"/>
  <c r="F31" i="24"/>
  <c r="F40" i="24"/>
  <c r="F36" i="24"/>
  <c r="F43" i="24"/>
  <c r="E77" i="24"/>
  <c r="E70" i="24"/>
  <c r="E63" i="24"/>
  <c r="J30" i="20"/>
  <c r="J24" i="20"/>
  <c r="G8" i="20"/>
  <c r="G9" i="20" s="1"/>
  <c r="G20" i="20" s="1"/>
  <c r="G21" i="20"/>
  <c r="G10" i="20"/>
  <c r="G19" i="20"/>
  <c r="G18" i="20"/>
  <c r="G17" i="20"/>
  <c r="G11" i="20" l="1"/>
  <c r="G12" i="20" s="1"/>
  <c r="G13" i="20" s="1"/>
  <c r="G22" i="20"/>
  <c r="G23" i="20" s="1"/>
  <c r="G24" i="20" s="1"/>
  <c r="J114" i="18"/>
  <c r="J108" i="18"/>
  <c r="J102" i="18"/>
  <c r="J96" i="18"/>
  <c r="J90" i="18"/>
  <c r="J84" i="18"/>
  <c r="J78" i="18"/>
  <c r="J73" i="18"/>
  <c r="J68" i="18"/>
  <c r="J62" i="18"/>
  <c r="J55" i="18"/>
  <c r="O47" i="18"/>
  <c r="O46" i="18"/>
  <c r="O45" i="18"/>
  <c r="O37" i="18"/>
  <c r="U48" i="18"/>
  <c r="U50" i="18" s="1"/>
  <c r="O39" i="18"/>
  <c r="O38" i="18"/>
  <c r="J22" i="18"/>
  <c r="Q5" i="18"/>
  <c r="O4" i="18" s="1"/>
  <c r="O13" i="18" s="1"/>
  <c r="U17" i="18"/>
  <c r="U19" i="18" s="1"/>
  <c r="O6" i="18"/>
  <c r="O5" i="18"/>
  <c r="O14" i="18"/>
  <c r="O15" i="18"/>
  <c r="O12" i="18"/>
  <c r="O45" i="15"/>
  <c r="K353" i="15"/>
  <c r="K348" i="15"/>
  <c r="J348" i="15"/>
  <c r="K344" i="15"/>
  <c r="K340" i="15"/>
  <c r="J327" i="15"/>
  <c r="J333" i="15"/>
  <c r="J187" i="15"/>
  <c r="O319" i="15"/>
  <c r="O320" i="15"/>
  <c r="O313" i="15"/>
  <c r="O321" i="15" s="1"/>
  <c r="U325" i="15"/>
  <c r="O294" i="15"/>
  <c r="O302" i="15" s="1"/>
  <c r="O300" i="15"/>
  <c r="O301" i="15"/>
  <c r="O205" i="15"/>
  <c r="U306" i="15"/>
  <c r="O282" i="15"/>
  <c r="O204" i="15"/>
  <c r="O224" i="15"/>
  <c r="O243" i="15"/>
  <c r="O262" i="15"/>
  <c r="O281" i="15"/>
  <c r="O275" i="15"/>
  <c r="G25" i="20" l="1"/>
  <c r="O48" i="18"/>
  <c r="O49" i="18" s="1"/>
  <c r="O40" i="18"/>
  <c r="O41" i="18" s="1"/>
  <c r="O8" i="18"/>
  <c r="O9" i="18" s="1"/>
  <c r="O10" i="18" s="1"/>
  <c r="O17" i="18"/>
  <c r="O18" i="18" s="1"/>
  <c r="O19" i="18" s="1"/>
  <c r="L348" i="15"/>
  <c r="L353" i="15"/>
  <c r="L340" i="15"/>
  <c r="L344" i="15"/>
  <c r="O295" i="15"/>
  <c r="O296" i="15" s="1"/>
  <c r="O297" i="15" s="1"/>
  <c r="O322" i="15"/>
  <c r="O323" i="15" s="1"/>
  <c r="O324" i="15" s="1"/>
  <c r="O314" i="15"/>
  <c r="O315" i="15" s="1"/>
  <c r="O316" i="15" s="1"/>
  <c r="O303" i="15"/>
  <c r="O304" i="15" s="1"/>
  <c r="O305" i="15" s="1"/>
  <c r="U287" i="15"/>
  <c r="O283" i="15"/>
  <c r="O284" i="15" s="1"/>
  <c r="O285" i="15" s="1"/>
  <c r="O263" i="15"/>
  <c r="O256" i="15"/>
  <c r="O264" i="15" s="1"/>
  <c r="O198" i="15"/>
  <c r="O199" i="15" s="1"/>
  <c r="O200" i="15" s="1"/>
  <c r="U268" i="15"/>
  <c r="O244" i="15"/>
  <c r="O237" i="15"/>
  <c r="O245" i="15" s="1"/>
  <c r="U249" i="15"/>
  <c r="O225" i="15"/>
  <c r="O218" i="15"/>
  <c r="O219" i="15" s="1"/>
  <c r="O220" i="15" s="1"/>
  <c r="U230" i="15"/>
  <c r="O6" i="15"/>
  <c r="U210" i="15"/>
  <c r="J181" i="15"/>
  <c r="J175" i="15"/>
  <c r="J170" i="15"/>
  <c r="J165" i="15"/>
  <c r="J159" i="15"/>
  <c r="J153" i="15"/>
  <c r="J120" i="15"/>
  <c r="J115" i="15"/>
  <c r="J148" i="15"/>
  <c r="J141" i="15"/>
  <c r="J135" i="15"/>
  <c r="J126" i="15"/>
  <c r="J130" i="15"/>
  <c r="J110" i="15"/>
  <c r="J82" i="15"/>
  <c r="J76" i="15"/>
  <c r="J70" i="15"/>
  <c r="J63" i="15"/>
  <c r="J64" i="15"/>
  <c r="O53" i="15"/>
  <c r="O286" i="15" l="1"/>
  <c r="O221" i="15"/>
  <c r="O50" i="18"/>
  <c r="O20" i="18"/>
  <c r="O306" i="15"/>
  <c r="O325" i="15"/>
  <c r="O201" i="15"/>
  <c r="O276" i="15"/>
  <c r="O277" i="15" s="1"/>
  <c r="O278" i="15" s="1"/>
  <c r="O265" i="15"/>
  <c r="O266" i="15" s="1"/>
  <c r="O267" i="15" s="1"/>
  <c r="O257" i="15"/>
  <c r="O258" i="15" s="1"/>
  <c r="O259" i="15" s="1"/>
  <c r="O246" i="15"/>
  <c r="O247" i="15" s="1"/>
  <c r="O248" i="15" s="1"/>
  <c r="O238" i="15"/>
  <c r="O239" i="15" s="1"/>
  <c r="O240" i="15" s="1"/>
  <c r="O226" i="15"/>
  <c r="O227" i="15" s="1"/>
  <c r="O228" i="15" s="1"/>
  <c r="O229" i="15" s="1"/>
  <c r="O230" i="15" s="1"/>
  <c r="O206" i="15"/>
  <c r="O207" i="15" s="1"/>
  <c r="O208" i="15" s="1"/>
  <c r="O209" i="15" s="1"/>
  <c r="O55" i="15"/>
  <c r="O54" i="15"/>
  <c r="O47" i="15"/>
  <c r="O46" i="15"/>
  <c r="P29" i="15"/>
  <c r="U58" i="15"/>
  <c r="P25" i="15"/>
  <c r="P30" i="15"/>
  <c r="O15" i="15"/>
  <c r="Q5" i="15"/>
  <c r="O4" i="15" s="1"/>
  <c r="O13" i="15" s="1"/>
  <c r="O14" i="15"/>
  <c r="O5" i="15"/>
  <c r="U19" i="15"/>
  <c r="O12" i="15"/>
  <c r="O210" i="15" l="1"/>
  <c r="O48" i="15"/>
  <c r="O49" i="15" s="1"/>
  <c r="O287" i="15"/>
  <c r="O56" i="15"/>
  <c r="O57" i="15" s="1"/>
  <c r="O268" i="15"/>
  <c r="O249" i="15"/>
  <c r="P32" i="15"/>
  <c r="P26" i="15"/>
  <c r="P27" i="15" s="1"/>
  <c r="P28" i="15" s="1"/>
  <c r="O8" i="15"/>
  <c r="O9" i="15" s="1"/>
  <c r="O10" i="15" s="1"/>
  <c r="O17" i="15"/>
  <c r="O18" i="15" s="1"/>
  <c r="O19" i="15" s="1"/>
  <c r="O20" i="15" l="1"/>
  <c r="O58" i="15"/>
  <c r="P31" i="15"/>
</calcChain>
</file>

<file path=xl/sharedStrings.xml><?xml version="1.0" encoding="utf-8"?>
<sst xmlns="http://schemas.openxmlformats.org/spreadsheetml/2006/main" count="1831" uniqueCount="694">
  <si>
    <t>Katalogs</t>
  </si>
  <si>
    <t>Apraksts</t>
  </si>
  <si>
    <t>Pirms</t>
  </si>
  <si>
    <t>Pēc</t>
  </si>
  <si>
    <t>Pielietošanas ierobežojumi</t>
  </si>
  <si>
    <t>Mērvienība</t>
  </si>
  <si>
    <t>Cirkulācijas sūkņi</t>
  </si>
  <si>
    <t>Dažādi elektroenerģijas ietaupījumi</t>
  </si>
  <si>
    <t>Ziņojums par elektroenerģijas patēriņu</t>
  </si>
  <si>
    <t>Akumulācijas tvertne bez izolācijas</t>
  </si>
  <si>
    <t>Akumulācijas tvertne ar vismaz 25 mm PUR izolāciju</t>
  </si>
  <si>
    <t>Akumulācijas tvertne ar vismaz 50 mm PUR izolāciju</t>
  </si>
  <si>
    <t>Akumulācijas tvertne ar vismaz 75 mm PUR izolāciju</t>
  </si>
  <si>
    <t>Akumulācijas tvertne ar vismaz 100 mm PUR izolāciju</t>
  </si>
  <si>
    <t>Akumulācijas tvertne ar līdz 25 mm PUR izolāciju</t>
  </si>
  <si>
    <t>Akumulācijas tvertne ar līdz 50 mm PUR izolāciju</t>
  </si>
  <si>
    <t>Akumulācijas tvertne ar līdz 75 mm PUR izolāciju</t>
  </si>
  <si>
    <t>C klases ledusskapis</t>
  </si>
  <si>
    <t>B klases ledusskapis</t>
  </si>
  <si>
    <t>A klases ledusskapis</t>
  </si>
  <si>
    <t>A+ klases ledusskapis</t>
  </si>
  <si>
    <t>A++ klases ledusskapis</t>
  </si>
  <si>
    <t>A+++ klases ledusskapis</t>
  </si>
  <si>
    <t>Veļas mazgājamās mašīnas nomaiņa</t>
  </si>
  <si>
    <t>Trauku mazgājamās mašīnas nomaiņa</t>
  </si>
  <si>
    <t>C klases trauku mazgājamā mašīna</t>
  </si>
  <si>
    <t>B klases trauku mazgājamā mašīna</t>
  </si>
  <si>
    <t>A klases trauku mazgājamā mašīna</t>
  </si>
  <si>
    <t>CRT monitora nomaiņa uz LCD</t>
  </si>
  <si>
    <t>15 collu CRT monitors</t>
  </si>
  <si>
    <t>17 collu CRT monitors</t>
  </si>
  <si>
    <t>20 collu CRT monitors</t>
  </si>
  <si>
    <t>15 collu LCD monitors</t>
  </si>
  <si>
    <t>17 collu LCD monitors</t>
  </si>
  <si>
    <t>20 collu LCD monitors</t>
  </si>
  <si>
    <t>19 collu CRT monitors</t>
  </si>
  <si>
    <t>19 collu LCD monitors</t>
  </si>
  <si>
    <t>21 collu CRT monitors</t>
  </si>
  <si>
    <t>22 collu CRT monitors</t>
  </si>
  <si>
    <t>24 collu CRT monitors</t>
  </si>
  <si>
    <t>21 collu LCD monitors</t>
  </si>
  <si>
    <t>22 collu LCD monitors</t>
  </si>
  <si>
    <t>24 collu LCD monitors</t>
  </si>
  <si>
    <t>LCD monitora nomaiņa uz LED</t>
  </si>
  <si>
    <t>15 collu LED monitors</t>
  </si>
  <si>
    <t>17 collu LED monitors</t>
  </si>
  <si>
    <t>19 collu LED monitors</t>
  </si>
  <si>
    <t>20 collu LED monitors</t>
  </si>
  <si>
    <t>21 collu LED monitors</t>
  </si>
  <si>
    <t>22 collu LED monitors</t>
  </si>
  <si>
    <t>24 collu LED monitors</t>
  </si>
  <si>
    <t>30 collu LCD monitors</t>
  </si>
  <si>
    <t>32 collu LCD monitors</t>
  </si>
  <si>
    <t>37 collu LCD monitors</t>
  </si>
  <si>
    <t>42 collu LCD monitors</t>
  </si>
  <si>
    <t>50 collu LCD monitors</t>
  </si>
  <si>
    <t>30 collu LED monitors</t>
  </si>
  <si>
    <t>32 collu LED monitors</t>
  </si>
  <si>
    <t>37 collu LED monitors</t>
  </si>
  <si>
    <t>42 collu LED monitors</t>
  </si>
  <si>
    <t>50 collu LED monitors</t>
  </si>
  <si>
    <t>Screen Size</t>
  </si>
  <si>
    <t>LED</t>
  </si>
  <si>
    <t>LCD</t>
  </si>
  <si>
    <t>CRT</t>
  </si>
  <si>
    <t>Plasma</t>
  </si>
  <si>
    <t>15 inches</t>
  </si>
  <si>
    <t>---</t>
  </si>
  <si>
    <t>17 inches</t>
  </si>
  <si>
    <t>19 inches</t>
  </si>
  <si>
    <t>20 inches</t>
  </si>
  <si>
    <t>21 inches</t>
  </si>
  <si>
    <t>22 inches</t>
  </si>
  <si>
    <t>24 inches</t>
  </si>
  <si>
    <t>30 inches</t>
  </si>
  <si>
    <t>32 inches</t>
  </si>
  <si>
    <t>37 inches</t>
  </si>
  <si>
    <t>42 inches</t>
  </si>
  <si>
    <t>50 inches</t>
  </si>
  <si>
    <t>http://energyusecalculator.com/electricity_lcdleddisplay.htm</t>
  </si>
  <si>
    <t>Stundas</t>
  </si>
  <si>
    <t>Dienā</t>
  </si>
  <si>
    <t>Gadā</t>
  </si>
  <si>
    <t>CRT monitora nomaiņa uz LED</t>
  </si>
  <si>
    <t>Tērauda cauruļvadi</t>
  </si>
  <si>
    <t>Polimēru cauruļvadi</t>
  </si>
  <si>
    <t>Jauni tērauda cauruļvadi</t>
  </si>
  <si>
    <t>Stāvvadu siltumizolācijas atjaunošana, uzstādīšana</t>
  </si>
  <si>
    <t>Noņemamās siltumizolācijas uzstādīšana atsevišķiem posmiem</t>
  </si>
  <si>
    <t>Dvieļu žāvētāju nomaiņa</t>
  </si>
  <si>
    <t>Cirkulācijas sūkņa uzstādīšana ar frekvenču pārveidotāju</t>
  </si>
  <si>
    <t>Esošās automātikas modernizācija</t>
  </si>
  <si>
    <t>Procesora ieregulēšana</t>
  </si>
  <si>
    <t>Tehniskā apkope Nr.2</t>
  </si>
  <si>
    <t>Tehniskā apkope Nr.1</t>
  </si>
  <si>
    <t>Ēkas ar platību līdz 500 m2</t>
  </si>
  <si>
    <t>Manuālie vārsti tiek nomainīti pret viedajiem termoregulātoriem</t>
  </si>
  <si>
    <t>Vertikālā divcauruļu sistēma</t>
  </si>
  <si>
    <t>Horizontālā divcauruļu sistēma</t>
  </si>
  <si>
    <t>Viencauruļu sistēmas nomaiņa pret divcauruļu sistēmu</t>
  </si>
  <si>
    <t xml:space="preserve">Esošo cauruļvadu nomaiņa </t>
  </si>
  <si>
    <t>Siltumizolācijas nomaiņa, atjaunošana tehniskajās telpās</t>
  </si>
  <si>
    <t>Divcauruļu sistēmas pārbūve ar siltummezglu katrā dzīvoklī</t>
  </si>
  <si>
    <t>Individuālā siltummezgla ierīkošana katrā dzīvoklī</t>
  </si>
  <si>
    <t>Ventilācijas kanālu tīrīšana</t>
  </si>
  <si>
    <t>Ārdurvju piespiedu aizvēršana</t>
  </si>
  <si>
    <t>Bēniņu lūku un durvju hermetizācija</t>
  </si>
  <si>
    <t>Logu nomaiņa kāpņutelpās</t>
  </si>
  <si>
    <t>Kustības sensoru uzstādīšana āra apgaismes sistēmā</t>
  </si>
  <si>
    <t>Ēkas ar platību no 500 līdz 1500 m2</t>
  </si>
  <si>
    <t>Ēkas ar platību no 1500 līdz 3000 m2</t>
  </si>
  <si>
    <t>Ēkas ar platību no 3000 m2</t>
  </si>
  <si>
    <t>Rekuperatora uzstādīšana</t>
  </si>
  <si>
    <t>Ventilācijas sistēma bez rekuperatora</t>
  </si>
  <si>
    <t>Akumulācijas tvertne ar 100 mm minerālvates izolāciju</t>
  </si>
  <si>
    <t>Akumulācijas tvertne ar 150 mm minerālvates izolāciju</t>
  </si>
  <si>
    <t>Akumulācijas tvertne ar 50 mm minerālvates izolāciju</t>
  </si>
  <si>
    <t>Karstā ūdens tvertne bez izolācijas</t>
  </si>
  <si>
    <t>Karstā ūdens tvertne ar līdz 25 mm PUR izolāciju</t>
  </si>
  <si>
    <t>Karstā ūdens tvertne ar līdz 50 mm PUR izolāciju</t>
  </si>
  <si>
    <t>Karstā ūdens tvertne ar līdz 75 mm PUR izolāciju</t>
  </si>
  <si>
    <t>Karstā ūdens tvertne ar 50 mm minerālvates izolāciju</t>
  </si>
  <si>
    <t>Karstā ūdens tvertne ar 100 mm minerālvates izolāciju</t>
  </si>
  <si>
    <t>Karstā ūdens tvertne ar 150 mm minerālvates izolāciju</t>
  </si>
  <si>
    <t>Karstā ūdens tvertne ar vismaz 25 mm PUR izolāciju</t>
  </si>
  <si>
    <t>Karstā ūdens tvertne ar vismaz 50 mm PUR izolāciju</t>
  </si>
  <si>
    <t>Karstā ūdens tvertne ar vismaz 75 mm PUR izolāciju</t>
  </si>
  <si>
    <t>Karstā ūdens tvertne ar vismaz 100 mm PUR izolāciju</t>
  </si>
  <si>
    <t>Granulu siltumietilpība</t>
  </si>
  <si>
    <t>Apkures patēriņš</t>
  </si>
  <si>
    <t>kWh/kg</t>
  </si>
  <si>
    <t>kWh/m2/gadā</t>
  </si>
  <si>
    <t>kg/m2/gadā</t>
  </si>
  <si>
    <t>Ietaupītā enerģija</t>
  </si>
  <si>
    <t>Ietaupītais granulu apjoms</t>
  </si>
  <si>
    <t>Siltuma daudzums pie sākotnējās efektivitātes</t>
  </si>
  <si>
    <t>Nepieciešamais granulu daudzums pie jaunās efektivitātes</t>
  </si>
  <si>
    <t>Nepieciešamais granulu daudzums pie sākotnējās ef.</t>
  </si>
  <si>
    <t>Apkures katls ar 60% lietderības koef.</t>
  </si>
  <si>
    <t>Apkures katls ar 70% lietderības koef.</t>
  </si>
  <si>
    <t>Apkures katls ar 80% lietderības koef.</t>
  </si>
  <si>
    <t>Apkures katls ar 90% lietderības koef.</t>
  </si>
  <si>
    <t>Apkures katls ar 95% lietderības koef.</t>
  </si>
  <si>
    <t>C</t>
  </si>
  <si>
    <t>Cauruļvads bez izolācijas</t>
  </si>
  <si>
    <t>Cauruļvads ar 9 mm kaučuka izolāciju</t>
  </si>
  <si>
    <t>Cauruļvads ar 13 mm kaučuka izolāciju</t>
  </si>
  <si>
    <t>Cauruļvads ar 25 mm kaučuka izolāciju</t>
  </si>
  <si>
    <t>Cauruļvads ar 32 mm kaučuka izolāciju</t>
  </si>
  <si>
    <t>Cauruļvads ar 19 mm kaučuka izolāciju</t>
  </si>
  <si>
    <t>Cauruļvads ar 20 mm akmens vates vai putupolistirola izolāciju</t>
  </si>
  <si>
    <t>Cauruļvada iekšējais diametrs</t>
  </si>
  <si>
    <t>Cauruļvada ārējais diametrs</t>
  </si>
  <si>
    <t>Cauruļvada siltumvadītspēja</t>
  </si>
  <si>
    <t>Siltumizolācijas siltumvadītspēja</t>
  </si>
  <si>
    <t>m</t>
  </si>
  <si>
    <t>W/(m*K)</t>
  </si>
  <si>
    <t>Lineārais siltuma caurlaidības koeficients k</t>
  </si>
  <si>
    <t>Siltumizolācijas biezums</t>
  </si>
  <si>
    <t>Siltumvadītspējas koeficients</t>
  </si>
  <si>
    <t>Kaučuks</t>
  </si>
  <si>
    <t>Akmens vate</t>
  </si>
  <si>
    <t>Putupolistirols</t>
  </si>
  <si>
    <t>Siltumenerģijas zudumi gadā</t>
  </si>
  <si>
    <t>kWh/gadā/m</t>
  </si>
  <si>
    <t>Varš</t>
  </si>
  <si>
    <t>Tērauds</t>
  </si>
  <si>
    <t>Alumīnijs</t>
  </si>
  <si>
    <t>Ietaupījums</t>
  </si>
  <si>
    <t>Temperatūra siltumnesējam</t>
  </si>
  <si>
    <t>Temperatūra telpā</t>
  </si>
  <si>
    <t>Starpība</t>
  </si>
  <si>
    <t>W/mK</t>
  </si>
  <si>
    <t>Cauruļvads ar 30 mm akmens vates vai putupolistirola izolāciju</t>
  </si>
  <si>
    <t>Cauruļvads ar 40 mm akmens vates vai putupolistirola izolāciju</t>
  </si>
  <si>
    <t>Cauruļvads ar 50 mm akmens vates vai putupolistirola izolāciju</t>
  </si>
  <si>
    <t>Cauruļvads ar 60 mm akmens vates vai putupolistirola izolāciju</t>
  </si>
  <si>
    <t>Cauruļvads ar 70 mm akmens vates vai putupolistirola izolāciju</t>
  </si>
  <si>
    <t>Cauruļvads ar 80 mm akmens vates vai putupolistirola izolāciju</t>
  </si>
  <si>
    <t>Vara cauruļvadi</t>
  </si>
  <si>
    <t>Cauruļvads ar 20 mm poliuretāna putu izolāciju</t>
  </si>
  <si>
    <t>Cauruļvads ar 30 mm poliuretāna putu izolāciju</t>
  </si>
  <si>
    <t>Cauruļvads ar 40 mm poliuretāna putu izolāciju</t>
  </si>
  <si>
    <t>Cauruļvads ar 50 mm poliuretāna putu izolāciju</t>
  </si>
  <si>
    <t>Cauruļvads ar 60 mm poliuretāna putu izolāciju</t>
  </si>
  <si>
    <t>Cauruļvads ar 70 mm poliuretāna putu izolāciju</t>
  </si>
  <si>
    <t>Cauruļvads ar 80 mm poliuretāna putu izolāciju</t>
  </si>
  <si>
    <t>Poliuretāna putas</t>
  </si>
  <si>
    <t>Vecā tvertne</t>
  </si>
  <si>
    <t>Izolācijas biezums</t>
  </si>
  <si>
    <t>Tvertnes virsmas laukums</t>
  </si>
  <si>
    <t>Jaunā tvertne</t>
  </si>
  <si>
    <t>Tvertnes siltumvadītspēja</t>
  </si>
  <si>
    <t>Siltuma caurlaidības koeficients U</t>
  </si>
  <si>
    <t>W/m2*K</t>
  </si>
  <si>
    <t>Tvertnes sienu biezums</t>
  </si>
  <si>
    <t>m2</t>
  </si>
  <si>
    <t>Konstrukcijas siltuma zudumu koeficients</t>
  </si>
  <si>
    <t>W/K</t>
  </si>
  <si>
    <t>Izolācijas siltumvadītspēja</t>
  </si>
  <si>
    <t>Bēniņu siltināšana</t>
  </si>
  <si>
    <t>Dzelzsbetons</t>
  </si>
  <si>
    <t>Priedes koks</t>
  </si>
  <si>
    <t>Keramikas pilnķieģeļi</t>
  </si>
  <si>
    <t>Vecā konstrukcija</t>
  </si>
  <si>
    <t>Jaunā konstrukcija</t>
  </si>
  <si>
    <t>Konstrukcijas biezums</t>
  </si>
  <si>
    <t>Konstrukcijas virsmas laukums</t>
  </si>
  <si>
    <t>Konstrukcijas siltumvadītspēja</t>
  </si>
  <si>
    <t>kWh/gadā/m2</t>
  </si>
  <si>
    <t>Pagraba griestu siltināšana</t>
  </si>
  <si>
    <t>Siltināti ar 200 mm beramo minerālvati λ≤0.041 W/mK</t>
  </si>
  <si>
    <t>Siltināti ar 100 mm minerālvati vai putupolistirolu λ≤0.036 W/mK</t>
  </si>
  <si>
    <t>Siltināti ar 200 mm lokšņu minerālvati  λ≤0.036 W/mK</t>
  </si>
  <si>
    <t>Siltināti ar 250 mm beramo minerālvati λ≤0.041 W/mK</t>
  </si>
  <si>
    <t>Siltināti ar 250 mm lokšņu minerālvati  λ≤0.036 W/mK</t>
  </si>
  <si>
    <t>Siltināti ar 300 mm beramo minerālvati λ≤0.041 W/mK</t>
  </si>
  <si>
    <t>Siltināti ar 300 mm lokšņu minerālvati  λ≤0.036 W/mK</t>
  </si>
  <si>
    <t>Siltināti ar 120 mm minerālvati vai putupolistirolu λ≤0.036 W/mK</t>
  </si>
  <si>
    <t>Siltināti ar 150 mm minerālvati vai putupolistirolu λ≤0.036 W/mK</t>
  </si>
  <si>
    <t>Siltināts ar 300 mm lokšņu minerālvati  λ≤0.036 W/mK</t>
  </si>
  <si>
    <t>Siltināts ar 100 mm lokšņu minerālvati  λ≤0.036 W/mK</t>
  </si>
  <si>
    <t>Siltināts ar 150 mm lokšņu minerālvati  λ≤0.036 W/mK</t>
  </si>
  <si>
    <t>Siltināts ar 200 mm lokšņu minerālvati  λ≤0.036 W/mK</t>
  </si>
  <si>
    <t>Siltināts ar 250 mm lokšņu minerālvati  λ≤0.036 W/mK</t>
  </si>
  <si>
    <t>Siltināts ar 50 mm lokšņu minerālvati  λ≤0.036 W/mK</t>
  </si>
  <si>
    <t>Grīda virs apkurināma pagraba</t>
  </si>
  <si>
    <t>Grīda virs neapkurināma pagraba</t>
  </si>
  <si>
    <t>Sienu siltināšana</t>
  </si>
  <si>
    <t>Siltināta ar 50 mm lokšņu minerālvati  λ≤0.036 W/mK</t>
  </si>
  <si>
    <t>Siltināta ar 100 mm lokšņu minerālvati  λ≤0.036 W/mK</t>
  </si>
  <si>
    <t>Pasākuma dzīves cikls</t>
  </si>
  <si>
    <t>Enerģijas ietaupījums dzīves ciklā</t>
  </si>
  <si>
    <t>Enerģijas ietaupījums gadā</t>
  </si>
  <si>
    <t>Koka siena</t>
  </si>
  <si>
    <t>Siltināta ar 100 mm minerālvati vai putupolistirolu λ≤0.036 W/mK</t>
  </si>
  <si>
    <t>Siltināta ar 200 mm minerālvati vai putupolistirolu λ≤0.036 W/mK</t>
  </si>
  <si>
    <t>Betona siena</t>
  </si>
  <si>
    <t>Koka grīda</t>
  </si>
  <si>
    <t>Betona grīda</t>
  </si>
  <si>
    <t>Pagraba sienu siltināšana</t>
  </si>
  <si>
    <t>Jumta siltināšana</t>
  </si>
  <si>
    <t>Betona jumts</t>
  </si>
  <si>
    <t>Koka jumts</t>
  </si>
  <si>
    <t>Koka pārsegums</t>
  </si>
  <si>
    <t>Betona pārsegums</t>
  </si>
  <si>
    <t>Logu nomaiņa</t>
  </si>
  <si>
    <t>Durvju nomaiņa</t>
  </si>
  <si>
    <t>Jumta logu nomaiņa</t>
  </si>
  <si>
    <t>Cp*ro(gaiss)/3600</t>
  </si>
  <si>
    <t>Telpas temperatūra</t>
  </si>
  <si>
    <t>Ārgaisa temperatūra</t>
  </si>
  <si>
    <t>Gaisa apmaiņas kārta</t>
  </si>
  <si>
    <t>Telpas vai ēkas tilpums</t>
  </si>
  <si>
    <t>Rekuperācijas efektivitāte</t>
  </si>
  <si>
    <t>Qve</t>
  </si>
  <si>
    <t>W</t>
  </si>
  <si>
    <t>MW</t>
  </si>
  <si>
    <t>1/h</t>
  </si>
  <si>
    <t>m3</t>
  </si>
  <si>
    <t>MWh</t>
  </si>
  <si>
    <t>Siltuma zudumi ar ventilāciju ar rekuperatoru</t>
  </si>
  <si>
    <t>Siltuma zudumi ar ventilāciju bez rekuperatora</t>
  </si>
  <si>
    <t>Rekuperators (10% efektivitāte)</t>
  </si>
  <si>
    <t>Rekuperators (20% efektivitāte)</t>
  </si>
  <si>
    <t>Rekuperators (30% efektivitāte)</t>
  </si>
  <si>
    <t>Rekuperators (40% efektivitāte)</t>
  </si>
  <si>
    <t>Rekuperators (50% efektivitāte)</t>
  </si>
  <si>
    <t>Rekuperators (60% efektivitāte)</t>
  </si>
  <si>
    <t>Rekuperators (70% efektivitāte)</t>
  </si>
  <si>
    <t>Rekuperators (80% efektivitāte)</t>
  </si>
  <si>
    <t>Rekuperators (90% efektivitāte)</t>
  </si>
  <si>
    <t>Griestu augstums</t>
  </si>
  <si>
    <t>Ēkas platība</t>
  </si>
  <si>
    <t>kWh</t>
  </si>
  <si>
    <t>Lietderības koeficients pirms</t>
  </si>
  <si>
    <t>Lietderības koeficients pēc</t>
  </si>
  <si>
    <t>(Istabā 18, kāpņu telpā 16)</t>
  </si>
  <si>
    <t>Beramā akmens vate</t>
  </si>
  <si>
    <t>Lokšņu akmens vate</t>
  </si>
  <si>
    <t>kWh/vienība</t>
  </si>
  <si>
    <t>U vecais</t>
  </si>
  <si>
    <t>U jaunais</t>
  </si>
  <si>
    <t>t iekšā</t>
  </si>
  <si>
    <t>t ārā</t>
  </si>
  <si>
    <t>Q</t>
  </si>
  <si>
    <t>Temperatūra ārā</t>
  </si>
  <si>
    <t>Novecojuši logi ar U=3</t>
  </si>
  <si>
    <t>Novecojuši logi ar U=2.7</t>
  </si>
  <si>
    <t>Novecojušas  durvis U=3</t>
  </si>
  <si>
    <t>Novecojušas durvis U=5</t>
  </si>
  <si>
    <t>Jaunas durvis U=1.3</t>
  </si>
  <si>
    <t>Jaunas  durvis U=3</t>
  </si>
  <si>
    <t>Jauni jumta logi ar 2-k stiklu paketēm U=1.3</t>
  </si>
  <si>
    <t>Jauni jumta logi ar 3-k stiklu paketēm U=1</t>
  </si>
  <si>
    <t>Ledusskapji ar saldētavu</t>
  </si>
  <si>
    <t>B</t>
  </si>
  <si>
    <t>A</t>
  </si>
  <si>
    <t>A+</t>
  </si>
  <si>
    <t>A++</t>
  </si>
  <si>
    <t>A+++</t>
  </si>
  <si>
    <t>kWh/gadā</t>
  </si>
  <si>
    <t>M</t>
  </si>
  <si>
    <t>Vc1</t>
  </si>
  <si>
    <t>Tc1</t>
  </si>
  <si>
    <t>Vc2</t>
  </si>
  <si>
    <t>Tc2</t>
  </si>
  <si>
    <t>SC</t>
  </si>
  <si>
    <t>AC</t>
  </si>
  <si>
    <t>I</t>
  </si>
  <si>
    <t>N</t>
  </si>
  <si>
    <t>Jauni logi ar 2-k stiklu paketēm U=1.3</t>
  </si>
  <si>
    <t>Jauni logi ar 3-k stiklu paketēm U=0.9</t>
  </si>
  <si>
    <t>(max)</t>
  </si>
  <si>
    <t>(Istabā 18, tvertnes telpā 20)</t>
  </si>
  <si>
    <t>(1m3)</t>
  </si>
  <si>
    <t>1000 l = 6 m2</t>
  </si>
  <si>
    <t>200 l = 2.2 m2</t>
  </si>
  <si>
    <t>(max 70, min 55)</t>
  </si>
  <si>
    <t>Polipropilēns</t>
  </si>
  <si>
    <t>Vienģimeņu ēka bez elektriskās apsildes</t>
  </si>
  <si>
    <t>Daudzdzīvokļu ēka bez elektriskās apsildes</t>
  </si>
  <si>
    <t>Vienģimeņu ēka ar elektrisko apsildi</t>
  </si>
  <si>
    <t>Daudzdzīvokļu ēka ar elektrisko apsildi</t>
  </si>
  <si>
    <t>Vienģimeņu ēka ar siltumsūkni</t>
  </si>
  <si>
    <t>Vienģimeņu ēka</t>
  </si>
  <si>
    <t>Daudzdzīvokļu ēka</t>
  </si>
  <si>
    <t>Kineskopa (CRT) monitora nomaiņa ar plakano šķidro kristāla displeja (LCD) monitoru</t>
  </si>
  <si>
    <t>Plakanā šķidrā kristāla displeja (LCD) nomaiņa uz LED monitoru</t>
  </si>
  <si>
    <t>Kineskopa (CRT) monitora nomaiņa ar LED monitoru</t>
  </si>
  <si>
    <t>Neņemot vērā miega režīma ietaupījumus</t>
  </si>
  <si>
    <t>http://standby.lbl.gov/summary-table.html</t>
  </si>
  <si>
    <t>Karstā ūdens krāna vai novecojušā tipa maisītāja nomaiņa</t>
  </si>
  <si>
    <t>Siltummaiņa nomaiņa</t>
  </si>
  <si>
    <t>Cirkulācijas līnijas izbūve vai atjaunošana</t>
  </si>
  <si>
    <t>Cirkulācijas sūkņa uzstādīšana ar frekvenču pārveidotāju viencauruļu apkures sistēmai</t>
  </si>
  <si>
    <t>Manuālo vārstu nomaiņa ar termoregulējošiem vārstiem ar iestatīšanu</t>
  </si>
  <si>
    <t>Siltummaksas sadalītāju uzstādīšana</t>
  </si>
  <si>
    <t>Apvadlīnijas izveide un termoregulātoru uzstādīšana. Siltummaksas sadalītāju uzstādīšana</t>
  </si>
  <si>
    <t>Uzstādīti jauni sildķermeņi</t>
  </si>
  <si>
    <t>EEI</t>
  </si>
  <si>
    <t>A klases veļas mazgājamā mašīna</t>
  </si>
  <si>
    <t>C klases veļas mazgājamā mašīna</t>
  </si>
  <si>
    <t>B klases veļas mazgājamā mašīna</t>
  </si>
  <si>
    <t>A+ klases veļas mazgājamā mašīna</t>
  </si>
  <si>
    <t>A++ klases veļas mazgājamā mašīna</t>
  </si>
  <si>
    <t>A+++ klases veļas mazgājamā mašīna</t>
  </si>
  <si>
    <t>B klases  veļas mazgājamā mašīna</t>
  </si>
  <si>
    <t>A+ klases trauku mazgājamā mašīna</t>
  </si>
  <si>
    <t>A++ klases trauku mazgājamā mašīna</t>
  </si>
  <si>
    <t>A+++ klases trauku mazgājamā mašīna</t>
  </si>
  <si>
    <t>Automobiļu nomaiņa</t>
  </si>
  <si>
    <t>Dažādi pasākumi</t>
  </si>
  <si>
    <t>Autovadītājs ir apguvis braukšanu, izmantojot degvielu efektīvi, svarīgs panākumu faktors ir nemitīga zināšanu papildināšana</t>
  </si>
  <si>
    <t>Pakalpojums Degvielas informācija. Saņemot regulārus ziņojumus un individuālu analīzi, ilgtermiņā nodrošināt ekonomisku degvielas patēriņu kļūst pavisam vienkārši</t>
  </si>
  <si>
    <t>http://www.volvotrucks.com/trucks/latvia-market/lv-lv/aboutus/every-drop-counts/PAGES/FUEL-ADVICE.ASPX</t>
  </si>
  <si>
    <t>Dynafleet lietojumprogramma Degviela un apkārtējā vide</t>
  </si>
  <si>
    <t>%</t>
  </si>
  <si>
    <t>http://www.volvotrucks.com/trucks/latvia-market/lv-lv/aboutus/every-drop-counts/PAGES/DYNAFLEET.ASPX</t>
  </si>
  <si>
    <t>Pakalpojums "Degvielas informācija"</t>
  </si>
  <si>
    <t>I-Shift pārnsumkārba</t>
  </si>
  <si>
    <t>http://www.volvotrucks.com/trucks/latvia-market/lv-lv/aboutus/every-drop-counts/PAGES/I-SHIFT.ASPX</t>
  </si>
  <si>
    <t>Pilns gaisa plūsmviržu komplekts</t>
  </si>
  <si>
    <t>http://www.volvotrucks.com/trucks/latvia-market/lv-lv/aboutus/every-drop-counts/PAGES/AIRFLOW-PACKAGE.ASPX</t>
  </si>
  <si>
    <t>http://www.volvotrucks.com/trucks/latvia-market/lv-lv/aboutus/every-drop-counts/PAGES/I-SEE.ASPX</t>
  </si>
  <si>
    <t>I-See sistēma</t>
  </si>
  <si>
    <t>Kravas automobiļa efektivitātes kalkulators</t>
  </si>
  <si>
    <t>http://www.volvotrucks.com/TRUCKS/latvia-market/lv-lv/SERVICES/PAGES/TRUCK-EFFICIENCY-CALCULATOR.ASPX</t>
  </si>
  <si>
    <t>izvēlētas atbilstošas riepas un pareizi noregulēta riteņu savirze un spiediens riepās</t>
  </si>
  <si>
    <t>Riteņu/riepu nomaiņa/regulēšana</t>
  </si>
  <si>
    <t>Riteņu noregulēšana</t>
  </si>
  <si>
    <t>http://www.volvotrucks.com/trucks/latvia-market/lv-lv/aboutus/every-drop-counts/PAGES/WHEEL-ALIGNMENT.ASPX</t>
  </si>
  <si>
    <t>http://www.volvotrucks.com/trucks/latvia-market/lv-lv/aboutus/every-drop-counts/Pages/methanediesel.aspx</t>
  </si>
  <si>
    <t>Metāna-dīzeļdegvielas motoru kravas auto</t>
  </si>
  <si>
    <t>Kravas hibrīdautomobilis</t>
  </si>
  <si>
    <t>http://www.volvotrucks.com/trucks/latvia-market/lv-lv/aboutus/every-drop-counts/Pages/hybrid.aspx</t>
  </si>
  <si>
    <t>Gaismeklis ar jaudu līdz 10W bez sensora</t>
  </si>
  <si>
    <t>Gaismeklis ar jaudu no 10.1 līdz 20W bez sensora</t>
  </si>
  <si>
    <t>Gaismeklis ar jaudu no 20.1 līdz 40W bez sensora</t>
  </si>
  <si>
    <t>Gaismeklis ar jaudu no 40.1 līdz 60W bez sensora</t>
  </si>
  <si>
    <t>Gaismeklis ar jaudu no 60.1 līdz 75W bez sensora</t>
  </si>
  <si>
    <t>Gaismeklis ar jaudu no 75.1 līdz 100W bez sensora</t>
  </si>
  <si>
    <t>Gaismeklis ar jaudu no 100.1 līdz 150W bez sensora</t>
  </si>
  <si>
    <t>Gaismeklis ar jaudu no 150.1 līdz 250W bez sensora</t>
  </si>
  <si>
    <t>Gaismeklis ar jaudu no 250.1 līdz 500W bez sensora</t>
  </si>
  <si>
    <t>Gaismeklis ar jaudu līdz 10W un kustības sensoru</t>
  </si>
  <si>
    <t>Gaismeklis ar jaudu no 10.1 līdz 20W un kustības sensoru</t>
  </si>
  <si>
    <t>Gaismeklis ar jaudu no 20.1 līdz 40W un kustības sensoru</t>
  </si>
  <si>
    <t>Gaismeklis ar jaudu no 40.1 līdz 60W un kustības sensoru</t>
  </si>
  <si>
    <t>Gaismeklis ar jaudu no 60.1 līdz 75W un kustības sensoru</t>
  </si>
  <si>
    <t>Gaismeklis ar jaudu no 75.1 līdz 100W un kustības sensoru</t>
  </si>
  <si>
    <t>Gaismeklis ar jaudu no 100.1 līdz 150W un kustības sensoru</t>
  </si>
  <si>
    <t>Gaismeklis ar jaudu no 150.1 līdz 250W un kustības sensoru</t>
  </si>
  <si>
    <t>Gaismeklis ar jaudu no 250.1 līdz 500W un kustības sensoru</t>
  </si>
  <si>
    <t>Sildķermeņu kompleksa nomaiņa</t>
  </si>
  <si>
    <t>Pilna sistēmas demontāža un jaunas apkures sistēmas izbūve</t>
  </si>
  <si>
    <t>Polipropilēna cauruļvadi</t>
  </si>
  <si>
    <t>Silikātķieģeļu siena</t>
  </si>
  <si>
    <t>Silikātķieģelis</t>
  </si>
  <si>
    <t>Tilpums</t>
  </si>
  <si>
    <t>Cauruļvads ar sliktu izolāciju (veca akmens vates izolācija līdz 20 mm)</t>
  </si>
  <si>
    <t>Cauruļvads ar vidēju izolāciju (veca akmens vates izolācija līdz 40 mm)</t>
  </si>
  <si>
    <t>Sildķermeņa manuālo vārstu nomaiņa ar termoregulējošiem vārstiem viencauruļu apkures sistēmai</t>
  </si>
  <si>
    <t>Tērauda vai kolonnu sildķermeņi</t>
  </si>
  <si>
    <t>Siltināta ar 150 mm minerālvati vai putupolistirolu λ≤0.036 W/mK</t>
  </si>
  <si>
    <t>Sienas</t>
  </si>
  <si>
    <t>Vidējais</t>
  </si>
  <si>
    <t>Platība</t>
  </si>
  <si>
    <t>http://cdn.shopify.com/s/files/1/0150/2930/files/Standby-Power-Research-Study-Australia-2005.pdf</t>
  </si>
  <si>
    <t>Novecojuši logi ar U=5</t>
  </si>
  <si>
    <t>Vienreizējas informēšanas kampaņa, iekļaujot elektroniskos plašsaziņas līdzekļus, atsevišķus pasākumus un drukātus materiālus</t>
  </si>
  <si>
    <t>Izpratnes veidošanas un informācijas kampaņas, kuras izplata informāciju par energoefektivitāti un enerģijas taupīšanu, un ir adresētas konkrētām mērķgrupām</t>
  </si>
  <si>
    <t>1.</t>
  </si>
  <si>
    <t>2.</t>
  </si>
  <si>
    <t>3.</t>
  </si>
  <si>
    <t>4.</t>
  </si>
  <si>
    <t>5.</t>
  </si>
  <si>
    <t>Energoefektīvs apgaismojums dzīvojamās ēkās</t>
  </si>
  <si>
    <t>Energoneefektīvu lampu nomaiņa mājsaimniecībās pret energotaupīgām vai LED lampām</t>
  </si>
  <si>
    <t>Nomainīto lampu skaits</t>
  </si>
  <si>
    <t>Energoefektīvs apgaismojums nedzīvojamās ēkās</t>
  </si>
  <si>
    <t>Biroju ēkas, kurās esošā neefektīvā apgaismojuma sistēma tiek aizstāta ar jaunu efektīvu apgaismojuma sistēmu</t>
  </si>
  <si>
    <t>Nē</t>
  </si>
  <si>
    <t>Energoefektīvs apgaismojums ēdināšanas uzņēmumos un viesnīcās</t>
  </si>
  <si>
    <t>Energoneefektīvu lampu nomaiņa pret energotaupīgajām lampām vai LED lampām</t>
  </si>
  <si>
    <t>Energoefektīvs ielu apgaismojums</t>
  </si>
  <si>
    <t>Energoneefektīvas ielu apgaismojuma sistēmas gaismas punktu skaits</t>
  </si>
  <si>
    <t>Energoefektīvas ielu apgaismojuma sistēmas gaismas punktu skaits</t>
  </si>
  <si>
    <t>Neefektīvu apgaismes sistēmu aizstāšana ar jaunām efektīvām apgaismojuma sistēmām</t>
  </si>
  <si>
    <t>Uzstādītā apgaismojuma jauda pirms nomaiņas [W]</t>
  </si>
  <si>
    <t>Uzstādītā apgaismojuma jauda pēc nomaiņas [W]</t>
  </si>
  <si>
    <t>Modernizēto apgaismojuma sistēmu skaits</t>
  </si>
  <si>
    <t>Pasākums</t>
  </si>
  <si>
    <t>APGAISMOJUMS</t>
  </si>
  <si>
    <t>Energoefektīvs apgaismojums ražošanas ēkās</t>
  </si>
  <si>
    <t>Uzstādīto viedo skaitītāju skaits</t>
  </si>
  <si>
    <t>Jauna apkures cirkulācijas sūkņa uzstādīšana</t>
  </si>
  <si>
    <t>Uzstādīto cirkulācijas sūkņu skaits</t>
  </si>
  <si>
    <t>Tipiskās apkures sistēmas lietderības koeficients</t>
  </si>
  <si>
    <t>Efektīvās apkures sistēmas lietderības koeficients</t>
  </si>
  <si>
    <t>Dzīvokļu (mājokļu) skaits ēkā</t>
  </si>
  <si>
    <t>Veco neefektīvo tehnoloģiju aizstāšana ar efektīvākām.
Apgaismojuma intensitātes samazinājums naktīs.</t>
  </si>
  <si>
    <t>Ventilējamās telpas augstums (no grīdas līdz griestiem) [m]</t>
  </si>
  <si>
    <t>Ventilācijas sistēmas darba ilgums gadā [h/gadā]</t>
  </si>
  <si>
    <t>Gaisa īpatnējā siltumietilpība [kWh/kg K]</t>
  </si>
  <si>
    <t>Siltuma atgūšanas koeficients</t>
  </si>
  <si>
    <t>Esošās apkures sistēmas lietderības koeficients</t>
  </si>
  <si>
    <t xml:space="preserve">Papildus esošajai apkures sistēmai esošā vai jaunbūvētā ēkā, kurā apkurei izmanto naftas produktus, gāzi, biomasu utt., tiek uzstādīti saules kolektori  karstā ūdens un papildus apkures vajadzībām </t>
  </si>
  <si>
    <t>Saules kolektoru uzstādīšana</t>
  </si>
  <si>
    <r>
      <t>Vidējais gadā saražotais siltuma daudzums (siltuma ražīgums) uz 1m</t>
    </r>
    <r>
      <rPr>
        <b/>
        <vertAlign val="superscript"/>
        <sz val="10"/>
        <color theme="1"/>
        <rFont val="Calibri"/>
        <family val="2"/>
        <charset val="186"/>
        <scheme val="minor"/>
      </rPr>
      <t xml:space="preserve">2 </t>
    </r>
    <r>
      <rPr>
        <b/>
        <sz val="10"/>
        <color theme="1"/>
        <rFont val="Calibri"/>
        <family val="2"/>
        <charset val="186"/>
        <scheme val="minor"/>
      </rPr>
      <t>uzstādītā kolektora virsmas laukuma [kWh/m</t>
    </r>
    <r>
      <rPr>
        <b/>
        <vertAlign val="superscript"/>
        <sz val="10"/>
        <color theme="1"/>
        <rFont val="Calibri"/>
        <family val="2"/>
        <charset val="186"/>
        <scheme val="minor"/>
      </rPr>
      <t>2</t>
    </r>
    <r>
      <rPr>
        <b/>
        <sz val="10"/>
        <color theme="1"/>
        <rFont val="Calibri"/>
        <family val="2"/>
        <charset val="186"/>
        <scheme val="minor"/>
      </rPr>
      <t>/gadā]</t>
    </r>
  </si>
  <si>
    <t>Jaunbūvēto dzīvojamo ēku norobežojošo konstrukciju termisko rādītāju uzlabošana</t>
  </si>
  <si>
    <t>Attiecas uz jaunbūvētām vienģimenes un vairākģimeņu mājām, kā arī lielām daudzdzīvokļu mājām, ja tās atbilst augstākiem efektivitātes standartiem, nekā to jaunbūvēm nosaka valsts būvnormatīvi</t>
  </si>
  <si>
    <t>Apkures sistēmas kopējais lietderības koeficients jaunuzbūvētai ēkai</t>
  </si>
  <si>
    <t>Sienu izolācija</t>
  </si>
  <si>
    <t>Jumta izolācija</t>
  </si>
  <si>
    <t xml:space="preserve">Apkures grādu dienu skaits vidējos klimatiskos apstākļos </t>
  </si>
  <si>
    <t>Apkures sistēmas lietderības koeficients tipiskajā ēkā</t>
  </si>
  <si>
    <t>Temperatūras faktors</t>
  </si>
  <si>
    <r>
      <t>Uzstādītā kolektora virsmas laukums, m</t>
    </r>
    <r>
      <rPr>
        <vertAlign val="superscript"/>
        <sz val="10"/>
        <color theme="1"/>
        <rFont val="Calibri"/>
        <family val="2"/>
        <charset val="186"/>
        <scheme val="minor"/>
      </rPr>
      <t>2</t>
    </r>
  </si>
  <si>
    <t>Dzīvojamās ēkās</t>
  </si>
  <si>
    <t>Publiskās ēkās</t>
  </si>
  <si>
    <t>IEKĀRTAS</t>
  </si>
  <si>
    <r>
      <t xml:space="preserve">Vai ir īstenots kāds no minētajiem papildu pasākumiem:
</t>
    </r>
    <r>
      <rPr>
        <sz val="10"/>
        <color theme="1"/>
        <rFont val="Calibri"/>
        <family val="2"/>
        <charset val="186"/>
        <scheme val="minor"/>
      </rPr>
      <t>Daļēja apgaismojuma samazināšana jeb dimmēšana; Intervālu taimeris; Kustību sensors; Automātiskā pielāgošanās dienas gaismai (Izvēlēties "Jā" vai "Nē").</t>
    </r>
  </si>
  <si>
    <r>
      <t xml:space="preserve">Vai ir īstenots kāds no minētajiem papildu pasākumiem: </t>
    </r>
    <r>
      <rPr>
        <sz val="10"/>
        <color theme="1"/>
        <rFont val="Calibri"/>
        <family val="2"/>
        <charset val="186"/>
        <scheme val="minor"/>
      </rPr>
      <t>apgaismojuma samazinājums naktī; pilnīga apgaismojuma izslēgšana naktī (Izvēlēties "Jā" vai "Nē").</t>
    </r>
  </si>
  <si>
    <t>Esošā apkures cirkulācijas sūkņa nomaiņa</t>
  </si>
  <si>
    <t>Siltumsūkņi</t>
  </si>
  <si>
    <t>Iekārta</t>
  </si>
  <si>
    <t>Pasākuma apraksts</t>
  </si>
  <si>
    <r>
      <t xml:space="preserve">Zemes, ūdens un gaisa siltumsūkņu uzstādīšana </t>
    </r>
    <r>
      <rPr>
        <b/>
        <sz val="10"/>
        <color theme="1"/>
        <rFont val="Calibri"/>
        <family val="2"/>
        <charset val="186"/>
        <scheme val="minor"/>
      </rPr>
      <t>jaunbūvētā vienģimenes mājā</t>
    </r>
  </si>
  <si>
    <r>
      <t>Zemes, ūdens un gaisa siltumsūkņu uzstādīšana</t>
    </r>
    <r>
      <rPr>
        <b/>
        <sz val="10"/>
        <color theme="1"/>
        <rFont val="Calibri"/>
        <family val="2"/>
        <charset val="186"/>
        <scheme val="minor"/>
      </rPr>
      <t xml:space="preserve"> esošai vienģimenes mājai</t>
    </r>
  </si>
  <si>
    <r>
      <t xml:space="preserve">Zemes, ūdens un gaisa siltumsūkņu uzstādīšana </t>
    </r>
    <r>
      <rPr>
        <b/>
        <sz val="10"/>
        <color theme="1"/>
        <rFont val="Calibri"/>
        <family val="2"/>
        <charset val="186"/>
        <scheme val="minor"/>
      </rPr>
      <t>jaunbūvētā vairākģimeņu mājā vai lielā daudzdzīvokļu mājā</t>
    </r>
  </si>
  <si>
    <r>
      <t xml:space="preserve">Zemes, ūdens un gaisa siltumsūkņu uzstādīšana </t>
    </r>
    <r>
      <rPr>
        <b/>
        <sz val="10"/>
        <color theme="1"/>
        <rFont val="Calibri"/>
        <family val="2"/>
        <charset val="186"/>
        <scheme val="minor"/>
      </rPr>
      <t>esošām vairākģimeņu mājām vai lielām daudzdzīvokļu mājām</t>
    </r>
  </si>
  <si>
    <t>6.</t>
  </si>
  <si>
    <t>Rūpnieciskie motori</t>
  </si>
  <si>
    <t>Elektromotoru nomaiņa rūpniecības uzņēmumos</t>
  </si>
  <si>
    <t>Jaunā uzstādītā elektromotora elektriskā jauda [kW]</t>
  </si>
  <si>
    <t>Vidējais darba stundu skaits gadā [h/gadā]</t>
  </si>
  <si>
    <t>Vidējais slodzes koeficients [%]</t>
  </si>
  <si>
    <t>Aizvietotā (iepriekšējā) motora lietderības koeficients [%]</t>
  </si>
  <si>
    <t>Jaunā motora lietderības koeficients [%]</t>
  </si>
  <si>
    <t>Nomainīto identisko elektromotoru skaits</t>
  </si>
  <si>
    <t>Rotācijas motoru nomaiņa ar mazākas jaudas motoriem</t>
  </si>
  <si>
    <t>Aizvietotā (iepriekšējā) elektromotora mehāniskā jauda [kW]</t>
  </si>
  <si>
    <t>Jaunā uzstādītā elektromotora mehāniskā jauda [kW]</t>
  </si>
  <si>
    <t>Aizvietotā (iepriekšējā) elektromotora vidējais slodzes koeficients [%]</t>
  </si>
  <si>
    <t>Jaunā uzstādītā elektromotora vidējais slodzes koeficients [%]</t>
  </si>
  <si>
    <t>Standarta motora lietderības koeficients [%]</t>
  </si>
  <si>
    <t>Energoefektīva, mazākas jaudas motora lietderības koeficients [%]</t>
  </si>
  <si>
    <t>Identisko rotācijas elektromotoru skaits, kuri ir aizvietoti ar vienādiem,  energoefektīviem mazākas jaudas motoriem</t>
  </si>
  <si>
    <t>Elektromotori ar maiņātruma piedziņu</t>
  </si>
  <si>
    <t>Elektromotora elektriskā jauda [kW]</t>
  </si>
  <si>
    <t>Maiņātruma piedziņas elektromotoram uzstādīšanas rezultātā iegūtā enerģijas ietaupījuma faktors [%]</t>
  </si>
  <si>
    <t>Elektromotora lietderības koeficients [%]</t>
  </si>
  <si>
    <t>Uzstādīto maiņātruma piedziņu elektromotoriem skaits</t>
  </si>
  <si>
    <t>7.</t>
  </si>
  <si>
    <t>8.</t>
  </si>
  <si>
    <t>9.</t>
  </si>
  <si>
    <t>Neefektīvu apkures katlu nomaiņa</t>
  </si>
  <si>
    <t>Nomainīto apkures katlu skaits</t>
  </si>
  <si>
    <t>Jaunas apkures sistēmas lietderības koeficients</t>
  </si>
  <si>
    <t>Daudzdzīvokļu dzīvojamā ēka</t>
  </si>
  <si>
    <t>Vienģimenes ēka</t>
  </si>
  <si>
    <t>Publiska ēka</t>
  </si>
  <si>
    <t>Atsevišķu būvelementu  termisko īpašību uzlabojums</t>
  </si>
  <si>
    <t>Vecā gāzes vai naftas produktu apkures katla nomaiņa pret efektīvu gāzes vai naftas produktu apkures katlu vai vecā apkures katla nomaiņa pret efektīvu biomasas katlu</t>
  </si>
  <si>
    <t>Biomasas apkures katli uzstādīti papildus vecajiem esošajiem katliem kā papildu enerģijas avots</t>
  </si>
  <si>
    <t>Uzstādīto biomasas apkures katlu skaits</t>
  </si>
  <si>
    <t>Biomasas katlu uzstādīšana</t>
  </si>
  <si>
    <r>
      <t>Īpatnējais enerģijas patēriņš telpu apkurei [kWh/m</t>
    </r>
    <r>
      <rPr>
        <b/>
        <vertAlign val="superscript"/>
        <sz val="10"/>
        <color theme="1"/>
        <rFont val="Calibri"/>
        <family val="2"/>
        <charset val="186"/>
        <scheme val="minor"/>
      </rPr>
      <t>2</t>
    </r>
    <r>
      <rPr>
        <b/>
        <sz val="10"/>
        <color theme="1"/>
        <rFont val="Calibri"/>
        <family val="2"/>
        <charset val="186"/>
        <scheme val="minor"/>
      </rPr>
      <t xml:space="preserve">/gadā] </t>
    </r>
  </si>
  <si>
    <r>
      <t>Īpatnējais enerģijas patēriņš sadzīves karstā ūdens sagatavošanai [kWh/m</t>
    </r>
    <r>
      <rPr>
        <b/>
        <vertAlign val="superscript"/>
        <sz val="10"/>
        <color theme="1"/>
        <rFont val="Calibri"/>
        <family val="2"/>
        <charset val="186"/>
        <scheme val="minor"/>
      </rPr>
      <t>2</t>
    </r>
    <r>
      <rPr>
        <b/>
        <sz val="10"/>
        <color theme="1"/>
        <rFont val="Calibri"/>
        <family val="2"/>
        <charset val="186"/>
        <scheme val="minor"/>
      </rPr>
      <t>/gadā]</t>
    </r>
  </si>
  <si>
    <r>
      <t>Ēkas kopējā kondicionētā platība [m</t>
    </r>
    <r>
      <rPr>
        <b/>
        <vertAlign val="superscript"/>
        <sz val="10"/>
        <color theme="1"/>
        <rFont val="Calibri"/>
        <family val="2"/>
        <charset val="186"/>
        <scheme val="minor"/>
      </rPr>
      <t>2</t>
    </r>
    <r>
      <rPr>
        <b/>
        <sz val="10"/>
        <color theme="1"/>
        <rFont val="Calibri"/>
        <family val="2"/>
        <charset val="186"/>
        <scheme val="minor"/>
      </rPr>
      <t>]</t>
    </r>
  </si>
  <si>
    <t>Nopirkto efektīvo automobiļu skaits</t>
  </si>
  <si>
    <t>Tipiskā pasažieru automobiļa īpatnējais enerģijas galapatēriņš [kWh/100 km]</t>
  </si>
  <si>
    <t>Efektīvā pasažieru automobiļa īpatnējais enerģijas galapatēriņš [kWh/100 km]</t>
  </si>
  <si>
    <t>Gada vidējais nobraukums [km/gadā]</t>
  </si>
  <si>
    <t>autobusi un smagie kravas automobiļi (virs 3,5 t)</t>
  </si>
  <si>
    <t>Apkures sistēmas renovācija</t>
  </si>
  <si>
    <t>Siltā ūdens tvertņu siltumizolācijas uzlabošana</t>
  </si>
  <si>
    <t>Izolēto tvertņu skaits</t>
  </si>
  <si>
    <t>Siltuma zudumi gadā no slikti izolētas (neizolētas) tvertnes [kWh/gadā]</t>
  </si>
  <si>
    <t>Siltuma zudumi gadā no labi izolētas tvertnes [kWh/gadā]</t>
  </si>
  <si>
    <t>Esošās apkures sistēmas lietderības koeficients gadā</t>
  </si>
  <si>
    <t xml:space="preserve">Sākotnējie siltuma zudumi no cauruļvadiem [W/m] </t>
  </si>
  <si>
    <t>Izolēto cauruļvadu garums [m]</t>
  </si>
  <si>
    <t>Siltuma zudumi no cauruļvadiem pēc siltumizolācijas uzlikšanas [W/m]</t>
  </si>
  <si>
    <t xml:space="preserve">Nevienlīdzības koeficients, kas raksturo apkures sistēmas nepārtrauktu darbību </t>
  </si>
  <si>
    <t>Apkures dienu skaits</t>
  </si>
  <si>
    <t xml:space="preserve">Siltuma ražošanas sistēmas (apkures katla) lietderības koeficients  </t>
  </si>
  <si>
    <t>Siltuma sadales sistēmas lietderības koeficients</t>
  </si>
  <si>
    <t>10.</t>
  </si>
  <si>
    <t>APKURE (KARSTAIS ŪDENS) un ĒKAS</t>
  </si>
  <si>
    <t>Ventilācijas sistēmas ar siltuma atgūšanu uzstādīšana (rekuperatora uzstādīšana)</t>
  </si>
  <si>
    <t>Uzstādīto siltuma atgūšanas iekārtu skaits</t>
  </si>
  <si>
    <t>VENTILĀCIJA</t>
  </si>
  <si>
    <r>
      <t>Gaisa blīvums [kg/m</t>
    </r>
    <r>
      <rPr>
        <vertAlign val="superscript"/>
        <sz val="10"/>
        <color theme="1"/>
        <rFont val="Calibri"/>
        <family val="2"/>
        <charset val="186"/>
        <scheme val="minor"/>
      </rPr>
      <t>3</t>
    </r>
    <r>
      <rPr>
        <sz val="10"/>
        <color theme="1"/>
        <rFont val="Calibri"/>
        <family val="2"/>
        <charset val="186"/>
        <scheme val="minor"/>
      </rPr>
      <t>]</t>
    </r>
  </si>
  <si>
    <t>Pasažieru automašīna</t>
  </si>
  <si>
    <t>kravas komerctransports (līdz 3,5 t)</t>
  </si>
  <si>
    <t>Vidējais īpatnējais tipiskā transportlīdzekļa degvielas patēriņš</t>
  </si>
  <si>
    <t>Vidējais īpatnējais efektīvā transportlīdzekļa degvielas patēriņš</t>
  </si>
  <si>
    <t>Dzinēja efektivitāti paaugstinošo smērvielu efektivitātes faktora vērtība</t>
  </si>
  <si>
    <t>Degvielu taupošu riepu degvielas patēriņa efektivitātes  faktora vērtība</t>
  </si>
  <si>
    <t>Vieglais komerctransports</t>
  </si>
  <si>
    <t>Dzinēja efektivitāti paaugstinošo smērvielu izmantošana</t>
  </si>
  <si>
    <t>Degvielu taupošu riepu izmantošana</t>
  </si>
  <si>
    <t>Transporta veids</t>
  </si>
  <si>
    <t>Transportlīdzekļu skaits, kuri izmanto degvielu taupošu motoreļļu</t>
  </si>
  <si>
    <t>Transportlīdzekļu skaits, kuri ir aprīkoti ar efektīvām riepām</t>
  </si>
  <si>
    <t>TRANSPORTS</t>
  </si>
  <si>
    <t>Automobiļa veids</t>
  </si>
  <si>
    <t>Vieglais komercautomobilis</t>
  </si>
  <si>
    <t>Vieglais pasažieru automobilis</t>
  </si>
  <si>
    <t>10: gaiss-gaiss
15: ūdens
25: zemes</t>
  </si>
  <si>
    <r>
      <t>Īpatnējais enerģijas patēriņš telpu apkurei [kWh/m</t>
    </r>
    <r>
      <rPr>
        <b/>
        <vertAlign val="superscript"/>
        <sz val="10"/>
        <color theme="1"/>
        <rFont val="Calibri"/>
        <family val="2"/>
        <charset val="186"/>
        <scheme val="minor"/>
      </rPr>
      <t>2</t>
    </r>
    <r>
      <rPr>
        <b/>
        <sz val="10"/>
        <color theme="1"/>
        <rFont val="Calibri"/>
        <family val="2"/>
        <charset val="186"/>
        <scheme val="minor"/>
      </rPr>
      <t>/gadā]</t>
    </r>
  </si>
  <si>
    <r>
      <t>Viena dzīvokļa (mājokļa) vidējā kondicionētā platība jaunbūvētā dzīvojamā mājā, kura apgādāta ar siltuma sūkni, m</t>
    </r>
    <r>
      <rPr>
        <b/>
        <vertAlign val="superscript"/>
        <sz val="10"/>
        <color theme="1"/>
        <rFont val="Calibri"/>
        <family val="2"/>
        <charset val="186"/>
        <scheme val="minor"/>
      </rPr>
      <t>2</t>
    </r>
  </si>
  <si>
    <r>
      <t>Kopējā kondicionētā platība jaunbūvētā dzīvojamā mājā [m</t>
    </r>
    <r>
      <rPr>
        <b/>
        <vertAlign val="superscript"/>
        <sz val="10"/>
        <color theme="1"/>
        <rFont val="Calibri"/>
        <family val="2"/>
        <charset val="186"/>
        <scheme val="minor"/>
      </rPr>
      <t>2</t>
    </r>
    <r>
      <rPr>
        <b/>
        <sz val="10"/>
        <color theme="1"/>
        <rFont val="Calibri"/>
        <family val="2"/>
        <charset val="186"/>
        <scheme val="minor"/>
      </rPr>
      <t xml:space="preserve">] </t>
    </r>
  </si>
  <si>
    <t>Apkures sistēmas cauruļu siltumizolācijas uzlabošana</t>
  </si>
  <si>
    <t>Hidraulisko sistēmu regulēšana</t>
  </si>
  <si>
    <t>Efektīvākas, ar hidraulisko regulēšanu, apkures sistēmas lietderības koeficients</t>
  </si>
  <si>
    <t>11.</t>
  </si>
  <si>
    <t>Tiek uzlabota siltumapgādes sistēma, ieviešot jaunu vadības sistēmu vai modernizējot esošo</t>
  </si>
  <si>
    <t>Iepriekšējās siltuma emisijas sistēmas (radiatori bez termostatiskajiem vārstiem) lietderības koeficients</t>
  </si>
  <si>
    <t>Jaunas siltuma emisijas sistēmas (radiatori ar termostatiskajiem vārstiem) lietderības koeficients</t>
  </si>
  <si>
    <t>12.</t>
  </si>
  <si>
    <t>Termostatisko vārstu uzstādīšana radiatoriem. Radiatori tiek aprīkoti ar termostatiskiem vārstiem (tur, kur to iepriekš nebija). Formulu var izmantot gan dzīvojamām, gan nedzīvojamām ēkām.</t>
  </si>
  <si>
    <t xml:space="preserve">Saules fotovoltu (PV) paneļu sistēmas </t>
  </si>
  <si>
    <t xml:space="preserve">Saules fotovoltu (PV) paneļu sistēmas uzstādīšana, lai galapatērētājs nodrošinātu pats savu elektroenerģijas patēriņu. </t>
  </si>
  <si>
    <r>
      <t>Saules spīdēšanas ilgums ar 1000 W/m</t>
    </r>
    <r>
      <rPr>
        <b/>
        <vertAlign val="superscript"/>
        <sz val="10"/>
        <color theme="1"/>
        <rFont val="Calibri"/>
        <family val="2"/>
        <charset val="186"/>
        <scheme val="minor"/>
      </rPr>
      <t>2</t>
    </r>
    <r>
      <rPr>
        <b/>
        <sz val="10"/>
        <color theme="1"/>
        <rFont val="Calibri"/>
        <family val="2"/>
        <charset val="186"/>
        <scheme val="minor"/>
      </rPr>
      <t xml:space="preserve"> intensitāti PV atrašanās vietā [h/gadā]</t>
    </r>
  </si>
  <si>
    <t>PV sistēmas veiktspēja [%]</t>
  </si>
  <si>
    <t xml:space="preserve">Elektroenerģijas daļa, kas tiek nodota kopējā publiskajā tīklā [%] </t>
  </si>
  <si>
    <r>
      <t>PV sistēmas uzstādītā maksimālā (pīķa) jauda 
[kW</t>
    </r>
    <r>
      <rPr>
        <b/>
        <vertAlign val="subscript"/>
        <sz val="10"/>
        <color theme="1"/>
        <rFont val="Calibri"/>
        <family val="2"/>
        <charset val="186"/>
        <scheme val="minor"/>
      </rPr>
      <t>pīķa</t>
    </r>
    <r>
      <rPr>
        <b/>
        <sz val="10"/>
        <color theme="1"/>
        <rFont val="Calibri"/>
        <family val="2"/>
        <charset val="186"/>
        <scheme val="minor"/>
      </rPr>
      <t>]</t>
    </r>
  </si>
  <si>
    <t>Tipiskās apkures sistēmas kopējais lietderības koeficients</t>
  </si>
  <si>
    <t xml:space="preserve">Efektīvās apkures sistēmas kopējais lietderības koeficients </t>
  </si>
  <si>
    <t>Dzīvokļu skaits ēkā</t>
  </si>
  <si>
    <t>Efektīvās apkures sistēmas kopējais lietderības koeficients</t>
  </si>
  <si>
    <t>Pieslēgums centralizētās siltumapgādes tīklam</t>
  </si>
  <si>
    <t>13.</t>
  </si>
  <si>
    <r>
      <t>Viena dzīvokļa vidējā kopējā kondicionētā platība [m</t>
    </r>
    <r>
      <rPr>
        <b/>
        <vertAlign val="superscript"/>
        <sz val="10"/>
        <color theme="1"/>
        <rFont val="Calibri"/>
        <family val="2"/>
        <charset val="186"/>
        <scheme val="minor"/>
      </rPr>
      <t>2</t>
    </r>
    <r>
      <rPr>
        <b/>
        <sz val="10"/>
        <color theme="1"/>
        <rFont val="Calibri"/>
        <family val="2"/>
        <charset val="186"/>
        <scheme val="minor"/>
      </rPr>
      <t>]</t>
    </r>
  </si>
  <si>
    <r>
      <t>Īpatnējais enerģijas patēriņš telpu apkurei ēkā [kWh/m</t>
    </r>
    <r>
      <rPr>
        <b/>
        <vertAlign val="superscript"/>
        <sz val="10"/>
        <color theme="1"/>
        <rFont val="Calibri"/>
        <family val="2"/>
        <charset val="186"/>
        <scheme val="minor"/>
      </rPr>
      <t>2</t>
    </r>
    <r>
      <rPr>
        <b/>
        <sz val="10"/>
        <color theme="1"/>
        <rFont val="Calibri"/>
        <family val="2"/>
        <charset val="186"/>
        <scheme val="minor"/>
      </rPr>
      <t>/gadā]</t>
    </r>
  </si>
  <si>
    <t>Ekobraukšanas apmācības dalībnieku skaits</t>
  </si>
  <si>
    <t>Ekobraukšanas grupas apmācība (8 praktiskās nodarbības grupā)</t>
  </si>
  <si>
    <t>Ekobraukšanas individuālā apmācība (1 praktiskā nodarbība)</t>
  </si>
  <si>
    <t>Tiek atzīta tāda apmācība, kura sastāv no teorētiskās daļas, un praktiskās automašīnas vadīšanas daļas uz koplietošanas ceļiem. Apmācību vada sertificēts instruktors.</t>
  </si>
  <si>
    <t>Ekobraukšana: privāto pasažieru automašīnu autovadītājiem</t>
  </si>
  <si>
    <t>Privātās pasažieru automašīnas gada vidējais enerģijas galapatēriņš pirms apmācības [kWh/gadā]</t>
  </si>
  <si>
    <t>Enerģijas galapatēriņa ietaupījuma faktors privātajai pasažieru automašīnai [%]</t>
  </si>
  <si>
    <t>Pasākuma dzīves cikls [gadi]</t>
  </si>
  <si>
    <t>Enerģijas ietaupījums [MWh/gadā]</t>
  </si>
  <si>
    <t xml:space="preserve">Enerģijas ietaupījums [kWh/gadā]  </t>
  </si>
  <si>
    <t>Alternatīvu degvielu izmantojoša automobiļa iegāde (ar tradicionālo degvielu izmantojošā automobiļa nomaiņa)</t>
  </si>
  <si>
    <t>Enerģijas ietaupījums [kWh/gadā]</t>
  </si>
  <si>
    <t>Kopējais enerģijas ietaupījums dzīves ciklā [kWh]</t>
  </si>
  <si>
    <t>Iekštelpu un āra gaisa temperatūru starpība (vidējā vērtība) apkures sezonas laikā [°C]</t>
  </si>
  <si>
    <r>
      <t>Gaisa apmaiņas ātrums [h</t>
    </r>
    <r>
      <rPr>
        <vertAlign val="superscript"/>
        <sz val="10"/>
        <color theme="1"/>
        <rFont val="Calibri"/>
        <family val="2"/>
        <charset val="186"/>
        <scheme val="minor"/>
      </rPr>
      <t>-1</t>
    </r>
    <r>
      <rPr>
        <b/>
        <sz val="10"/>
        <color theme="1"/>
        <rFont val="Calibri"/>
        <family val="2"/>
        <charset val="186"/>
        <scheme val="minor"/>
      </rPr>
      <t xml:space="preserve">] </t>
    </r>
  </si>
  <si>
    <t>Ietaupījuma faktors [%]</t>
  </si>
  <si>
    <t>Viena iedzīvotāja enerģijas galapatēriņš [kWh/gadā]</t>
  </si>
  <si>
    <t>Vidējā tirgū pieejamā cirkulācijas sūkņa elektriskā jauda [W]</t>
  </si>
  <si>
    <t>Efektīva cirkulācijas sūkņa elektriskā jauda [W]</t>
  </si>
  <si>
    <t>Sūkņa nodrošinātā padeve [%]</t>
  </si>
  <si>
    <t>Relatīvais noslodzes laiks [%]</t>
  </si>
  <si>
    <t>Cirkulācijas sūkņa vidējais darbības laiks gadā [h/gadā]</t>
  </si>
  <si>
    <t>INFORMATĪVIE PASĀKUMI, VIEDIE SKAITĪTĀJI UN ENERĢIJAS MONITORINGS</t>
  </si>
  <si>
    <t>Izmantošanas laiks [h/gadā]</t>
  </si>
  <si>
    <t>Efektīvās lampas vidējā jauda [W]</t>
  </si>
  <si>
    <t>Esošās lampas vidējā jauda [W]</t>
  </si>
  <si>
    <r>
      <t>Kopējā platība biroju ēkā, kurā notiek apgaismojuma sistēmas modernizācija [m</t>
    </r>
    <r>
      <rPr>
        <b/>
        <vertAlign val="superscript"/>
        <sz val="10"/>
        <color theme="1"/>
        <rFont val="Verdana"/>
        <family val="2"/>
        <charset val="186"/>
      </rPr>
      <t>2</t>
    </r>
    <r>
      <rPr>
        <b/>
        <sz val="10"/>
        <color theme="1"/>
        <rFont val="Verdana"/>
        <family val="2"/>
        <charset val="186"/>
      </rPr>
      <t>]</t>
    </r>
  </si>
  <si>
    <r>
      <t>Uzstādītā apgaismojuma jauda uz m</t>
    </r>
    <r>
      <rPr>
        <b/>
        <vertAlign val="superscript"/>
        <sz val="10"/>
        <color theme="1"/>
        <rFont val="Calibri"/>
        <family val="2"/>
        <charset val="186"/>
        <scheme val="minor"/>
      </rPr>
      <t xml:space="preserve">2 </t>
    </r>
    <r>
      <rPr>
        <b/>
        <sz val="10"/>
        <color theme="1"/>
        <rFont val="Calibri"/>
        <family val="2"/>
        <charset val="186"/>
        <scheme val="minor"/>
      </rPr>
      <t>pirms nomaiņas [W/m</t>
    </r>
    <r>
      <rPr>
        <b/>
        <vertAlign val="superscript"/>
        <sz val="10"/>
        <color theme="1"/>
        <rFont val="Calibri"/>
        <family val="2"/>
        <charset val="186"/>
        <scheme val="minor"/>
      </rPr>
      <t>2</t>
    </r>
    <r>
      <rPr>
        <b/>
        <sz val="10"/>
        <color theme="1"/>
        <rFont val="Calibri"/>
        <family val="2"/>
        <charset val="186"/>
        <scheme val="minor"/>
      </rPr>
      <t>]</t>
    </r>
  </si>
  <si>
    <r>
      <t>Uzstādītā apgaismojuma jauda uz m</t>
    </r>
    <r>
      <rPr>
        <b/>
        <vertAlign val="superscript"/>
        <sz val="10"/>
        <color theme="1"/>
        <rFont val="Calibri"/>
        <family val="2"/>
        <charset val="186"/>
        <scheme val="minor"/>
      </rPr>
      <t>2</t>
    </r>
    <r>
      <rPr>
        <b/>
        <sz val="10"/>
        <color theme="1"/>
        <rFont val="Calibri"/>
        <family val="2"/>
        <charset val="186"/>
        <scheme val="minor"/>
      </rPr>
      <t xml:space="preserve"> pēc nomaiņas [W/m</t>
    </r>
    <r>
      <rPr>
        <b/>
        <vertAlign val="superscript"/>
        <sz val="10"/>
        <color theme="1"/>
        <rFont val="Calibri"/>
        <family val="2"/>
        <charset val="186"/>
        <scheme val="minor"/>
      </rPr>
      <t>2</t>
    </r>
    <r>
      <rPr>
        <b/>
        <sz val="10"/>
        <color theme="1"/>
        <rFont val="Calibri"/>
        <family val="2"/>
        <charset val="186"/>
        <scheme val="minor"/>
      </rPr>
      <t>]</t>
    </r>
  </si>
  <si>
    <t>Energoneefektīvas sistēmas viena gaismas punkta jauda [W]</t>
  </si>
  <si>
    <t>Energoefektīvas sistēmas viena gaismas punkta jauda [W]</t>
  </si>
  <si>
    <r>
      <t>Īpatnējais enerģijas patēriņš karstā ūdens sagatavošanai [kWh/m</t>
    </r>
    <r>
      <rPr>
        <b/>
        <vertAlign val="superscript"/>
        <sz val="10"/>
        <color theme="1"/>
        <rFont val="Calibri"/>
        <family val="2"/>
        <charset val="186"/>
        <scheme val="minor"/>
      </rPr>
      <t>2</t>
    </r>
    <r>
      <rPr>
        <b/>
        <sz val="10"/>
        <color theme="1"/>
        <rFont val="Calibri"/>
        <family val="2"/>
        <charset val="186"/>
        <scheme val="minor"/>
      </rPr>
      <t>/gadā]</t>
    </r>
  </si>
  <si>
    <r>
      <rPr>
        <b/>
        <sz val="10"/>
        <color theme="1"/>
        <rFont val="Calibri"/>
        <family val="2"/>
        <charset val="186"/>
        <scheme val="minor"/>
      </rPr>
      <t xml:space="preserve">Nerenovētas vienģimenes mājas. </t>
    </r>
    <r>
      <rPr>
        <sz val="10"/>
        <color theme="1"/>
        <rFont val="Calibri"/>
        <family val="2"/>
        <charset val="186"/>
        <scheme val="minor"/>
      </rPr>
      <t>Tādu vienģimenes dzīvojamo ēku, kurām nav veikta renovācija, lai novērstu siltuma zudumus, pieslēgums centralizētās siltumapgādes tīklam, nomainot esošo apkures sistēmu. Abas sistēmas, gan esošā, gan jaunā, nodrošina siltumu telpu apkurei un karsto ūdeni.</t>
    </r>
  </si>
  <si>
    <r>
      <rPr>
        <b/>
        <sz val="10"/>
        <color theme="1"/>
        <rFont val="Calibri"/>
        <family val="2"/>
        <charset val="186"/>
        <scheme val="minor"/>
      </rPr>
      <t xml:space="preserve">Nerenovētas vairākģimeņu mājas un daudzdzīvokļu mājas. </t>
    </r>
    <r>
      <rPr>
        <sz val="10"/>
        <color theme="1"/>
        <rFont val="Calibri"/>
        <family val="2"/>
        <charset val="186"/>
        <scheme val="minor"/>
      </rPr>
      <t>Tādu vairākģimeņu dzīvojamo ēku un daudzdzīvokļu dzīvojamo ēku, kurām nav veikta renovācija, lai novērstu siltuma zudumus, pieslēgums centralizētās siltumapgādes tīklam, nomainot esošo apkures sistēmu. Abas sistēmas, gan esošā, gan jaunā, nodrošina siltumu telpu apkurei un karsto ūdeni.</t>
    </r>
  </si>
  <si>
    <t>Apkures ilgums [dienas]</t>
  </si>
  <si>
    <t>Iekštelpu aprēķina temperatūra [°C]</t>
  </si>
  <si>
    <r>
      <t>Āra gaisa vidējā temperatūra apkures sezonas laikā [</t>
    </r>
    <r>
      <rPr>
        <b/>
        <vertAlign val="superscript"/>
        <sz val="10"/>
        <color theme="1"/>
        <rFont val="Calibri"/>
        <family val="2"/>
        <charset val="186"/>
        <scheme val="minor"/>
      </rPr>
      <t>o</t>
    </r>
    <r>
      <rPr>
        <b/>
        <sz val="10"/>
        <color theme="1"/>
        <rFont val="Calibri"/>
        <family val="2"/>
        <charset val="186"/>
        <scheme val="minor"/>
      </rPr>
      <t>C]</t>
    </r>
  </si>
  <si>
    <r>
      <t>Tipiskā būvelementa U-vērtība: siltuma caurlaidības koeficients [W/m</t>
    </r>
    <r>
      <rPr>
        <b/>
        <vertAlign val="superscript"/>
        <sz val="10"/>
        <color theme="1"/>
        <rFont val="Calibri"/>
        <family val="2"/>
        <charset val="186"/>
        <scheme val="minor"/>
      </rPr>
      <t>2</t>
    </r>
    <r>
      <rPr>
        <b/>
        <sz val="10"/>
        <color theme="1"/>
        <rFont val="Calibri"/>
        <family val="2"/>
        <charset val="186"/>
        <scheme val="minor"/>
      </rPr>
      <t>K]</t>
    </r>
  </si>
  <si>
    <r>
      <t>Energoefektīvā būvelementa U-vērtība: siltuma caurlaidības koeficients [W/m</t>
    </r>
    <r>
      <rPr>
        <b/>
        <vertAlign val="superscript"/>
        <sz val="10"/>
        <color theme="1"/>
        <rFont val="Calibri"/>
        <family val="2"/>
        <charset val="186"/>
        <scheme val="minor"/>
      </rPr>
      <t>2</t>
    </r>
    <r>
      <rPr>
        <b/>
        <sz val="10"/>
        <color theme="1"/>
        <rFont val="Calibri"/>
        <family val="2"/>
        <charset val="186"/>
        <scheme val="minor"/>
      </rPr>
      <t>K]</t>
    </r>
  </si>
  <si>
    <r>
      <t>Kopējā kondicionētā platība jaunuzbūvētā ēkā [m</t>
    </r>
    <r>
      <rPr>
        <vertAlign val="superscript"/>
        <sz val="10"/>
        <color theme="1"/>
        <rFont val="Calibri"/>
        <family val="2"/>
        <charset val="186"/>
        <scheme val="minor"/>
      </rPr>
      <t>2</t>
    </r>
    <r>
      <rPr>
        <sz val="10"/>
        <color theme="1"/>
        <rFont val="Calibri"/>
        <family val="2"/>
        <charset val="186"/>
        <scheme val="minor"/>
      </rPr>
      <t>]</t>
    </r>
  </si>
  <si>
    <r>
      <t>Renovētā būvelementa platība [m</t>
    </r>
    <r>
      <rPr>
        <b/>
        <vertAlign val="superscript"/>
        <sz val="10"/>
        <color theme="1"/>
        <rFont val="Calibri"/>
        <family val="2"/>
        <charset val="186"/>
        <scheme val="minor"/>
      </rPr>
      <t>2</t>
    </r>
    <r>
      <rPr>
        <b/>
        <sz val="10"/>
        <color theme="1"/>
        <rFont val="Calibri"/>
        <family val="2"/>
        <charset val="186"/>
        <scheme val="minor"/>
      </rPr>
      <t>]</t>
    </r>
  </si>
  <si>
    <t>Siltumenerģijas patēriņa procentuālā vērtība, ko nodrošina biomasas katls [%]</t>
  </si>
  <si>
    <r>
      <t>Īpatnējais enerģijas patēriņš telpu apkurei [kwh/m</t>
    </r>
    <r>
      <rPr>
        <b/>
        <vertAlign val="superscript"/>
        <sz val="10"/>
        <color theme="1"/>
        <rFont val="Calibri"/>
        <family val="2"/>
        <charset val="186"/>
        <scheme val="minor"/>
      </rPr>
      <t>2</t>
    </r>
    <r>
      <rPr>
        <b/>
        <sz val="10"/>
        <color theme="1"/>
        <rFont val="Calibri"/>
        <family val="2"/>
        <charset val="186"/>
        <scheme val="minor"/>
      </rPr>
      <t>/gadā]</t>
    </r>
  </si>
  <si>
    <r>
      <t>Kopējā kondicionētā platība [m</t>
    </r>
    <r>
      <rPr>
        <vertAlign val="superscript"/>
        <sz val="10"/>
        <color theme="1"/>
        <rFont val="Calibri"/>
        <family val="2"/>
        <charset val="186"/>
        <scheme val="minor"/>
      </rPr>
      <t>2</t>
    </r>
    <r>
      <rPr>
        <sz val="10"/>
        <color theme="1"/>
        <rFont val="Calibri"/>
        <family val="2"/>
        <charset val="186"/>
        <scheme val="minor"/>
      </rPr>
      <t>]</t>
    </r>
  </si>
  <si>
    <t>Viedo skaitītāju uzstādīšana (ar un bez atgriezeniskās saites par enerģijas patēriņu reāllaikā un padomdošanu)</t>
  </si>
  <si>
    <t>Vienkāršs viedais skaitītājs</t>
  </si>
  <si>
    <t>Vienkāršs viedais skaitītājs un padomdošana lietotājam par informācijas analīzi</t>
  </si>
  <si>
    <t>Viedais skaitītājs ar atgriezenisko reāllaika saiti (displeju)</t>
  </si>
  <si>
    <t>Viedais skaitītājs ar atgriezenisko reāllaika saiti un padomdošanu lietotājam par informācijas analīzi</t>
  </si>
  <si>
    <t>Viedais skaitītājs ar vairākām individuālām papildierīcēm konkrētu mājsaimniecības elektroierīču kumulatīvā patēriņa un izmaksu monitoringam</t>
  </si>
  <si>
    <t>Vidējais attiecināmais enerģijas galapatēriņš mājsaimniecībā  [kWh/gadā]</t>
  </si>
  <si>
    <t>Specializēta datorizēta/mobilās aplikācijas enerģijas monitoringa un pārvaldības sistēma</t>
  </si>
  <si>
    <t>Uzņēmuma elektroenerģijas vidējais patēriņš pirms pasākuma īstenošanas [kWh/gadā]</t>
  </si>
  <si>
    <t>Ietaupījuma faktors elektroenerģijai [%]</t>
  </si>
  <si>
    <t>Ietaupījuma faktors siltumenerģijai [%]</t>
  </si>
  <si>
    <t>Uzņēmuma siltumenerģijas vidējais patēriņš pirms pasākuma īstenošanas [kWh/gadā]</t>
  </si>
  <si>
    <t xml:space="preserve">2.pakāpes pasākumi sniedz padziļinātu informāciju par energoefektivitātes pasākumiem un ieguvumiem no tiem, ietver lietotājam ērti izmantojamus energoefektivitātes novērtējuma rīkus, ietver atgriezeniskās saites mehānismu. Pateicoties šiem nosacījumiem, 2.pakāpes pasākumi nodrošina, ka gala lietotāja sākotnējā interese tiek realizēta konkrētās energoefektivitāti paaugstinošās darbībās. </t>
  </si>
  <si>
    <t>Neindividualizētu padomu sniegšana uzņēmuma tīmekļa vietnē</t>
  </si>
  <si>
    <t>Neindividualizētu padomu sniegšana EE centros, vai pie EE centra stenda izstādēs un publiskos pasākumos</t>
  </si>
  <si>
    <t>Ilglaicīga sabiedrības izpratnes veidošanas programma</t>
  </si>
  <si>
    <t>Enerģijas rēķinos iekļautā personalizētā papildinformācija par EE jautājumiem</t>
  </si>
  <si>
    <t>Individuālas konsultācijas EE centros, aģentūrās, klientu centros</t>
  </si>
  <si>
    <t>Informācija tīmeklī (ne-uzņēmuma vietnē) bez atgriezeniskās saites. Informācija pēc uzņēmuma pasūtījuma tiek ievietota populārā portālā</t>
  </si>
  <si>
    <t>Nepersonalizēta informācija pie enerģijas rēķiniem</t>
  </si>
  <si>
    <t>2. pakāpes informatīvie pasākumi - nav nepieciešams veikt aptauju. Mērķgrupas lielums tiek dokumentāli pierādīts</t>
  </si>
  <si>
    <t>Mērķgrupas lielums (informēto cilvēku/ mājsaimniecību skaits). Tiek dokumentāli pierādīts</t>
  </si>
  <si>
    <t>Mērķgrupas lielums (pasākuma ietekmēto mājsaimniecību/ cilvēku skaits). Tiek noteikta ar aptaujas palīdzību</t>
  </si>
  <si>
    <t>1. pakāpes informatīvie pasākumi - ir nepieciešamas veikt aptauju pēc pasākuma īstenošanas, lai noteiktu ietekmētās mērķgrupas lielumu</t>
  </si>
  <si>
    <r>
      <t xml:space="preserve">Informatīvie pasākumi </t>
    </r>
    <r>
      <rPr>
        <b/>
        <u/>
        <sz val="10"/>
        <color theme="1"/>
        <rFont val="Calibri"/>
        <family val="2"/>
        <charset val="186"/>
        <scheme val="minor"/>
      </rPr>
      <t>juridiskām</t>
    </r>
    <r>
      <rPr>
        <b/>
        <sz val="10"/>
        <color theme="1"/>
        <rFont val="Calibri"/>
        <family val="2"/>
        <charset val="186"/>
        <scheme val="minor"/>
      </rPr>
      <t xml:space="preserve"> personām</t>
    </r>
  </si>
  <si>
    <r>
      <t xml:space="preserve">Informatīvie pasākumi </t>
    </r>
    <r>
      <rPr>
        <b/>
        <u/>
        <sz val="10"/>
        <color theme="1"/>
        <rFont val="Calibri"/>
        <family val="2"/>
        <charset val="186"/>
        <scheme val="minor"/>
      </rPr>
      <t>mājsaimniecību</t>
    </r>
    <r>
      <rPr>
        <b/>
        <sz val="10"/>
        <color theme="1"/>
        <rFont val="Calibri"/>
        <family val="2"/>
        <charset val="186"/>
        <scheme val="minor"/>
      </rPr>
      <t xml:space="preserve"> sektorā</t>
    </r>
  </si>
  <si>
    <t>Enerģijas monitoringa sistēmas ieviešana juridiskām personām, izmantojot specializētas monitoringa ierīces vai pārvaldības sistēmas (mobilās aplikācijas), kas līdz ar patēriņa apzināšanu un paradumu maiņu nodrošina enerģijas patēriņa samazināšanos juridiskajā sektorā</t>
  </si>
  <si>
    <t>Termostatu uzstādīšana apkures sistēmām</t>
  </si>
  <si>
    <t>Apkures perioda ilgums (dienu skaits)</t>
  </si>
  <si>
    <t>Siltuma sadales sistēmas ēkā lietderības koeficients</t>
  </si>
  <si>
    <t>Siltuma ražošanas sistēmas (apkures kaltla) lietderības koeficients</t>
  </si>
  <si>
    <t>14.</t>
  </si>
  <si>
    <t>Formula ir izmantojuma gadījumos, kad dzīvojamās ēkas telpas tiek aprīkotas ar termostatu (tur, kur to iepriekš nebija)</t>
  </si>
  <si>
    <r>
      <t>Ar termostatu uzstādītais temperatūras samazinājums dzīvojamās iekštelpās atsevišķām diennakts stundām [</t>
    </r>
    <r>
      <rPr>
        <b/>
        <vertAlign val="superscript"/>
        <sz val="10"/>
        <color theme="1"/>
        <rFont val="Calibri"/>
        <family val="2"/>
        <charset val="186"/>
        <scheme val="minor"/>
      </rPr>
      <t>o</t>
    </r>
    <r>
      <rPr>
        <b/>
        <sz val="10"/>
        <color theme="1"/>
        <rFont val="Calibri"/>
        <family val="2"/>
        <charset val="186"/>
        <scheme val="minor"/>
      </rPr>
      <t>C]</t>
    </r>
  </si>
  <si>
    <r>
      <t xml:space="preserve">Enerģijas samazinājums apsildei, samazinot temperatūru par 1 </t>
    </r>
    <r>
      <rPr>
        <b/>
        <vertAlign val="superscript"/>
        <sz val="10"/>
        <color theme="1"/>
        <rFont val="Calibri"/>
        <family val="2"/>
        <charset val="186"/>
        <scheme val="minor"/>
      </rPr>
      <t>o</t>
    </r>
    <r>
      <rPr>
        <b/>
        <sz val="10"/>
        <color theme="1"/>
        <rFont val="Calibri"/>
        <family val="2"/>
        <charset val="186"/>
        <scheme val="minor"/>
      </rPr>
      <t>C [%]</t>
    </r>
  </si>
  <si>
    <t>Nakts stundu skaits, kurām piemēro termostata samazinājumu [h]</t>
  </si>
  <si>
    <t>Dienas stundu skaits, kurām piemēro termostata samazinājumu [h]</t>
  </si>
  <si>
    <r>
      <t>Kopējā kondicionētā platība [m</t>
    </r>
    <r>
      <rPr>
        <b/>
        <vertAlign val="superscript"/>
        <sz val="10"/>
        <color theme="1"/>
        <rFont val="Calibri"/>
        <family val="2"/>
        <charset val="186"/>
        <scheme val="minor"/>
      </rPr>
      <t>2</t>
    </r>
    <r>
      <rPr>
        <b/>
        <sz val="10"/>
        <color theme="1"/>
        <rFont val="Calibri"/>
        <family val="2"/>
        <charset val="186"/>
        <scheme val="minor"/>
      </rPr>
      <t>]</t>
    </r>
  </si>
  <si>
    <t>Augstākās pieejamās energoefektivitātes klases iegādāto ierīču skaits</t>
  </si>
  <si>
    <t>Veļas mazgājamās mašīnas</t>
  </si>
  <si>
    <t>Trauku mazgājamās mašīnas</t>
  </si>
  <si>
    <t>Ledusskapji</t>
  </si>
  <si>
    <t>Saldētavas</t>
  </si>
  <si>
    <t>Augsti efektīvas (A klase) ieviestās ierīces vidējais enerģijas patēriņš gadā [kWh/gadā]</t>
  </si>
  <si>
    <t>Esošās ierīces vidējais enerģijas patēriņš gadā [kWh/gadā]</t>
  </si>
  <si>
    <t>Augsti efektīvas mājsaimniecības baltās ierīces</t>
  </si>
  <si>
    <r>
      <rPr>
        <b/>
        <sz val="10"/>
        <color theme="1"/>
        <rFont val="Calibri"/>
        <family val="2"/>
        <charset val="186"/>
        <scheme val="minor"/>
      </rPr>
      <t xml:space="preserve">Mājsaimniecības baltās ierīces: ierīču priekšlaicīga nomaiņa </t>
    </r>
    <r>
      <rPr>
        <sz val="10"/>
        <color theme="1"/>
        <rFont val="Calibri"/>
        <family val="2"/>
        <charset val="186"/>
        <scheme val="minor"/>
      </rPr>
      <t xml:space="preserve">
Pasākums attiecas uz mājsaimniecības balto ierīču nomaiņu pirms to ekspluatācijas termiņa beigām ar augstākās tirgū pieejamās energoefektivitātes klases (A klase) ierīcēm.</t>
    </r>
  </si>
  <si>
    <r>
      <t>Īpatnējais minimālais pieļaujamais apkures enerģijas patēriņš telpu apkurei [kWh/m</t>
    </r>
    <r>
      <rPr>
        <b/>
        <vertAlign val="superscript"/>
        <sz val="10"/>
        <rFont val="Calibri"/>
        <family val="2"/>
        <charset val="186"/>
        <scheme val="minor"/>
      </rPr>
      <t>2</t>
    </r>
    <r>
      <rPr>
        <b/>
        <sz val="10"/>
        <rFont val="Calibri"/>
        <family val="2"/>
        <charset val="186"/>
        <scheme val="minor"/>
      </rPr>
      <t>/gadā]</t>
    </r>
  </si>
  <si>
    <r>
      <t>Īpatnējais enerģijas patēriņš telpu apkurei augstākas energoefektivitātes ēkā [kWh/m</t>
    </r>
    <r>
      <rPr>
        <b/>
        <vertAlign val="superscript"/>
        <sz val="10"/>
        <color theme="1"/>
        <rFont val="Calibri"/>
        <family val="2"/>
        <charset val="186"/>
        <scheme val="minor"/>
      </rPr>
      <t>2</t>
    </r>
    <r>
      <rPr>
        <b/>
        <sz val="10"/>
        <color theme="1"/>
        <rFont val="Calibri"/>
        <family val="2"/>
        <charset val="186"/>
        <scheme val="minor"/>
      </rPr>
      <t>/gadā]</t>
    </r>
  </si>
  <si>
    <t>Apgaismojums</t>
  </si>
  <si>
    <t>Apkure (karstais ūdens) un ēkas</t>
  </si>
  <si>
    <t>Iekārtas</t>
  </si>
  <si>
    <t>Info pasākumi, monitorings</t>
  </si>
  <si>
    <t>Transports, ekobraukšana</t>
  </si>
  <si>
    <t>Ventilācija</t>
  </si>
  <si>
    <t xml:space="preserve">Kataloga pamatā ir: </t>
  </si>
  <si>
    <t>Eiropas Savienības pētniecības un inovāciju programmas Apvārsnis 2020 projekta "Facilitating Multi-level governance for energy efficiency: multEE"</t>
  </si>
  <si>
    <t xml:space="preserve">ietvaros identificētie pasākumi un tiem noteiktie parametri (Latvijas specifiskās vērtības energoefektivitātes paaugstināšanas pasākumos iegūto </t>
  </si>
  <si>
    <t xml:space="preserve">enerģijas ietaupījumu novērtējumam). Projekta rezultāti publiski pieejami: </t>
  </si>
  <si>
    <t>https://fei-web.lv/lv/projekti-all/starptautiskie-projekti/facilitating-multi-level-governance-for-energy-efficiency-multee</t>
  </si>
  <si>
    <r>
      <t xml:space="preserve">Enerģijas ietaupījumu katalogs (turpmāk - Katalogs) nodrošina enerģijas ietaupījuma aprēķināšanu, izmantojot </t>
    </r>
    <r>
      <rPr>
        <b/>
        <i/>
        <sz val="11"/>
        <color theme="1"/>
        <rFont val="Calibri"/>
        <family val="2"/>
        <charset val="186"/>
        <scheme val="minor"/>
      </rPr>
      <t>ex-ante</t>
    </r>
    <r>
      <rPr>
        <sz val="11"/>
        <color theme="1"/>
        <rFont val="Calibri"/>
        <family val="2"/>
        <charset val="186"/>
        <scheme val="minor"/>
      </rPr>
      <t xml:space="preserve"> (paredzamā enerģijas ietaupījuma) metodi.</t>
    </r>
  </si>
  <si>
    <t>Kontaktinformācija</t>
  </si>
  <si>
    <t>Jautājumu gadījumā lūdzam sazināties ar Būvniecības valsts kontroles biroja Energoresursu kontroles departamenta Energoefektivitātes kontroles nodaļas ekspertiem:</t>
  </si>
  <si>
    <t xml:space="preserve">Katalogs iekļauj 47 energoefektivitātes pasākumus 6 dažādās kategorijās: </t>
  </si>
  <si>
    <t xml:space="preserve">Katalogā ir norādīti vidējie enerģijas ietaupījumi dažāda veida pasākumiem. Kataloga mērķis ir vienkāršot uzņēmumiem, pašvaldībām, atbildīgajām pusēm un citiem </t>
  </si>
  <si>
    <r>
      <t xml:space="preserve">interesentiem enerģijas ietaupījumu aprēķināšanu. </t>
    </r>
    <r>
      <rPr>
        <b/>
        <sz val="11"/>
        <color theme="1"/>
        <rFont val="Calibri"/>
        <family val="2"/>
        <charset val="186"/>
        <scheme val="minor"/>
      </rPr>
      <t xml:space="preserve">Kataloga pelēkās šūnas satur noklusējuma vērtības, kuras nav iespējams rediģēt, savukārt baltās šūnas ir rediģējmas, </t>
    </r>
    <r>
      <rPr>
        <sz val="11"/>
        <color theme="1"/>
        <rFont val="Calibri"/>
        <family val="2"/>
        <charset val="186"/>
        <scheme val="minor"/>
      </rPr>
      <t xml:space="preserve"> </t>
    </r>
  </si>
  <si>
    <r>
      <rPr>
        <b/>
        <sz val="11"/>
        <color theme="1"/>
        <rFont val="Calibri"/>
        <family val="2"/>
        <charset val="186"/>
        <scheme val="minor"/>
      </rPr>
      <t>t.i. - šajās šūnās jānorāda attiecīgā informācija, lai varētu tikt veikts enerģijas ietaupījuma aprēķins.</t>
    </r>
    <r>
      <rPr>
        <sz val="11"/>
        <color theme="1"/>
        <rFont val="Calibri"/>
        <family val="2"/>
        <charset val="186"/>
        <scheme val="minor"/>
      </rPr>
      <t xml:space="preserve"> Enerģijas ietaupījums tiek attēlots gan kā kWh/gadā, gan kā MWh/gadā, </t>
    </r>
  </si>
  <si>
    <t>gan informatīvi tiek parādīts arī kopējais pasākuma dzīves ciklā iegūtais enerģijas ietaupījums.</t>
  </si>
  <si>
    <r>
      <rPr>
        <b/>
        <sz val="11"/>
        <color rgb="FFC00000"/>
        <rFont val="Calibri"/>
        <family val="2"/>
        <charset val="186"/>
        <scheme val="minor"/>
      </rPr>
      <t xml:space="preserve">! </t>
    </r>
    <r>
      <rPr>
        <sz val="11"/>
        <color theme="1"/>
        <rFont val="Calibri"/>
        <family val="2"/>
        <charset val="186"/>
        <scheme val="minor"/>
      </rPr>
      <t>Attiecībā uz kataloga sadaļas "Info pasākumi, monitorings" izmantošanu, ja attiecināms, lūdzam papildus izmantot</t>
    </r>
    <r>
      <rPr>
        <b/>
        <sz val="11"/>
        <color theme="1"/>
        <rFont val="Calibri"/>
        <family val="2"/>
        <charset val="186"/>
        <scheme val="minor"/>
      </rPr>
      <t xml:space="preserve"> "Metodiskie norādījumi  informēšanas un izglītošanas </t>
    </r>
  </si>
  <si>
    <t>pasākumu enerģijas ietaupījumu novērtēšanai".</t>
  </si>
  <si>
    <t xml:space="preserve">Ekonomikas ministrijas pasūtītā pētījuma "Patērētāju aptaujas metodisko norādījumu izstrāde informēšanas un izglītošanas pasākumu rezultātā panāktā  </t>
  </si>
  <si>
    <t>enerģijas ietaupījuma novērtēšanai un Enerģijas ietaupījumu kataloga aktualizēšana" rezultāti.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</si>
</sst>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4" x14ac:knownFonts="1">
    <font>
      <sz val="11"/>
      <color theme="1"/>
      <name val="Calibri"/>
      <family val="2"/>
      <charset val="186"/>
      <scheme val="minor"/>
    </font>
    <font>
      <b/>
      <sz val="11"/>
      <color theme="1"/>
      <name val="Calibri"/>
      <family val="2"/>
      <charset val="186"/>
      <scheme val="minor"/>
    </font>
    <font>
      <b/>
      <sz val="14"/>
      <color theme="1"/>
      <name val="Calibri"/>
      <family val="2"/>
      <charset val="186"/>
      <scheme val="minor"/>
    </font>
    <font>
      <sz val="11"/>
      <color theme="1"/>
      <name val="Times New Roman"/>
      <family val="1"/>
      <charset val="186"/>
    </font>
    <font>
      <sz val="11"/>
      <color rgb="FF000000"/>
      <name val="Times New Roman"/>
      <family val="1"/>
      <charset val="186"/>
    </font>
    <font>
      <sz val="11"/>
      <color rgb="FFFF0000"/>
      <name val="Calibri"/>
      <family val="2"/>
      <charset val="186"/>
      <scheme val="minor"/>
    </font>
    <font>
      <u/>
      <sz val="11"/>
      <color theme="10"/>
      <name val="Calibri"/>
      <family val="2"/>
      <charset val="186"/>
      <scheme val="minor"/>
    </font>
    <font>
      <b/>
      <vertAlign val="superscript"/>
      <sz val="10"/>
      <color theme="1"/>
      <name val="Verdana"/>
      <family val="2"/>
      <charset val="186"/>
    </font>
    <font>
      <b/>
      <sz val="16"/>
      <color theme="1"/>
      <name val="Calibri"/>
      <family val="2"/>
      <charset val="186"/>
      <scheme val="minor"/>
    </font>
    <font>
      <b/>
      <vertAlign val="superscript"/>
      <sz val="10"/>
      <color theme="1"/>
      <name val="Calibri"/>
      <family val="2"/>
      <charset val="186"/>
      <scheme val="minor"/>
    </font>
    <font>
      <b/>
      <sz val="10"/>
      <color theme="1"/>
      <name val="Calibri"/>
      <family val="2"/>
      <charset val="186"/>
      <scheme val="minor"/>
    </font>
    <font>
      <sz val="10"/>
      <color theme="1"/>
      <name val="Calibri"/>
      <family val="2"/>
      <charset val="186"/>
      <scheme val="minor"/>
    </font>
    <font>
      <vertAlign val="superscript"/>
      <sz val="10"/>
      <color theme="1"/>
      <name val="Calibri"/>
      <family val="2"/>
      <charset val="186"/>
      <scheme val="minor"/>
    </font>
    <font>
      <sz val="10"/>
      <name val="Calibri"/>
      <family val="2"/>
      <charset val="186"/>
      <scheme val="minor"/>
    </font>
    <font>
      <sz val="10"/>
      <color rgb="FF000000"/>
      <name val="Calibri"/>
      <family val="2"/>
      <charset val="186"/>
      <scheme val="minor"/>
    </font>
    <font>
      <b/>
      <vertAlign val="subscript"/>
      <sz val="10"/>
      <color theme="1"/>
      <name val="Calibri"/>
      <family val="2"/>
      <charset val="186"/>
      <scheme val="minor"/>
    </font>
    <font>
      <b/>
      <sz val="10"/>
      <color theme="1"/>
      <name val="Verdana"/>
      <family val="2"/>
      <charset val="186"/>
    </font>
    <font>
      <b/>
      <sz val="11"/>
      <color rgb="FFC00000"/>
      <name val="Calibri"/>
      <family val="2"/>
      <charset val="186"/>
      <scheme val="minor"/>
    </font>
    <font>
      <b/>
      <u/>
      <sz val="10"/>
      <color theme="1"/>
      <name val="Calibri"/>
      <family val="2"/>
      <charset val="186"/>
      <scheme val="minor"/>
    </font>
    <font>
      <b/>
      <sz val="10"/>
      <name val="Calibri"/>
      <family val="2"/>
      <charset val="186"/>
      <scheme val="minor"/>
    </font>
    <font>
      <b/>
      <vertAlign val="superscript"/>
      <sz val="10"/>
      <name val="Calibri"/>
      <family val="2"/>
      <charset val="186"/>
      <scheme val="minor"/>
    </font>
    <font>
      <b/>
      <i/>
      <sz val="11"/>
      <color theme="1"/>
      <name val="Calibri"/>
      <family val="2"/>
      <charset val="186"/>
      <scheme val="minor"/>
    </font>
    <font>
      <b/>
      <u/>
      <sz val="11"/>
      <color theme="10"/>
      <name val="Calibri"/>
      <family val="2"/>
      <charset val="186"/>
      <scheme val="minor"/>
    </font>
    <font>
      <b/>
      <sz val="11"/>
      <name val="Calibri"/>
      <family val="2"/>
      <charset val="186"/>
      <scheme val="minor"/>
    </font>
  </fonts>
  <fills count="26">
    <fill>
      <patternFill patternType="none"/>
    </fill>
    <fill>
      <patternFill patternType="gray125"/>
    </fill>
    <fill>
      <patternFill patternType="solid">
        <fgColor rgb="FFFFFFFF"/>
        <bgColor indexed="64"/>
      </patternFill>
    </fill>
    <fill>
      <patternFill patternType="solid">
        <fgColor rgb="FFFFCC33"/>
        <bgColor indexed="64"/>
      </patternFill>
    </fill>
    <fill>
      <patternFill patternType="solid">
        <fgColor rgb="FFEEEEEE"/>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theme="5" tint="0.79998168889431442"/>
        <bgColor indexed="64"/>
      </patternFill>
    </fill>
    <fill>
      <patternFill patternType="solid">
        <fgColor rgb="FFF6E57E"/>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BF3C5"/>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0" tint="-0.14996795556505021"/>
        <bgColor indexed="64"/>
      </patternFill>
    </fill>
    <fill>
      <patternFill patternType="solid">
        <fgColor rgb="FF36B8CA"/>
        <bgColor indexed="64"/>
      </patternFill>
    </fill>
    <fill>
      <patternFill patternType="solid">
        <fgColor theme="0"/>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9" tint="0.59999389629810485"/>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style="medium">
        <color auto="1"/>
      </right>
      <top/>
      <bottom/>
      <diagonal/>
    </border>
    <border>
      <left style="thin">
        <color indexed="64"/>
      </left>
      <right style="thin">
        <color indexed="64"/>
      </right>
      <top style="medium">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indexed="64"/>
      </right>
      <top/>
      <bottom style="thin">
        <color indexed="64"/>
      </bottom>
      <diagonal/>
    </border>
    <border>
      <left style="thin">
        <color indexed="64"/>
      </left>
      <right/>
      <top/>
      <bottom style="medium">
        <color auto="1"/>
      </bottom>
      <diagonal/>
    </border>
    <border>
      <left/>
      <right style="thin">
        <color auto="1"/>
      </right>
      <top/>
      <bottom style="medium">
        <color auto="1"/>
      </bottom>
      <diagonal/>
    </border>
    <border>
      <left style="thin">
        <color indexed="64"/>
      </left>
      <right/>
      <top style="medium">
        <color indexed="64"/>
      </top>
      <bottom/>
      <diagonal/>
    </border>
    <border>
      <left/>
      <right style="thin">
        <color indexed="64"/>
      </right>
      <top style="medium">
        <color indexed="64"/>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s>
  <cellStyleXfs count="2">
    <xf numFmtId="0" fontId="0" fillId="0" borderId="0"/>
    <xf numFmtId="0" fontId="6" fillId="0" borderId="0" applyNumberFormat="0" applyFill="0" applyBorder="0" applyAlignment="0" applyProtection="0"/>
  </cellStyleXfs>
  <cellXfs count="408">
    <xf numFmtId="0" fontId="0" fillId="0" borderId="0" xfId="0"/>
    <xf numFmtId="0" fontId="2" fillId="0" borderId="0" xfId="0" applyFont="1"/>
    <xf numFmtId="0" fontId="0" fillId="0" borderId="0" xfId="0"/>
    <xf numFmtId="0" fontId="1" fillId="0" borderId="0" xfId="0" applyFont="1"/>
    <xf numFmtId="0" fontId="0" fillId="0" borderId="1" xfId="0" applyBorder="1"/>
    <xf numFmtId="0" fontId="3" fillId="0" borderId="0" xfId="0" applyFont="1"/>
    <xf numFmtId="0" fontId="4" fillId="4" borderId="0" xfId="0" applyFont="1" applyFill="1" applyAlignment="1">
      <alignment horizontal="left" vertical="center" wrapText="1"/>
    </xf>
    <xf numFmtId="0" fontId="4" fillId="2" borderId="0" xfId="0" applyFont="1" applyFill="1" applyAlignment="1">
      <alignment horizontal="left" vertical="center" wrapText="1"/>
    </xf>
    <xf numFmtId="0" fontId="4" fillId="3" borderId="0" xfId="0" applyFont="1" applyFill="1" applyAlignment="1">
      <alignment horizontal="left" vertical="center" wrapText="1"/>
    </xf>
    <xf numFmtId="0" fontId="0" fillId="0" borderId="0" xfId="0" applyFont="1"/>
    <xf numFmtId="0" fontId="0" fillId="0" borderId="0" xfId="0" applyFont="1" applyFill="1" applyBorder="1"/>
    <xf numFmtId="0" fontId="0" fillId="0" borderId="0" xfId="0" applyFont="1" applyBorder="1"/>
    <xf numFmtId="0" fontId="0" fillId="0" borderId="1" xfId="0" applyFill="1" applyBorder="1"/>
    <xf numFmtId="2" fontId="0" fillId="0" borderId="1" xfId="0" applyNumberFormat="1" applyBorder="1"/>
    <xf numFmtId="164" fontId="0" fillId="0" borderId="1" xfId="0" applyNumberFormat="1" applyBorder="1"/>
    <xf numFmtId="0" fontId="0" fillId="0" borderId="3" xfId="0" applyFill="1" applyBorder="1"/>
    <xf numFmtId="164" fontId="0" fillId="0" borderId="1" xfId="0" applyNumberFormat="1" applyFill="1" applyBorder="1"/>
    <xf numFmtId="0" fontId="5" fillId="0" borderId="0" xfId="0" applyFont="1"/>
    <xf numFmtId="0" fontId="0" fillId="6" borderId="1" xfId="0" applyFont="1" applyFill="1" applyBorder="1"/>
    <xf numFmtId="0" fontId="0" fillId="6" borderId="1" xfId="0" applyFill="1" applyBorder="1"/>
    <xf numFmtId="2" fontId="0" fillId="0" borderId="0" xfId="0" applyNumberFormat="1" applyFont="1"/>
    <xf numFmtId="0" fontId="0" fillId="0" borderId="0" xfId="0" applyFill="1" applyBorder="1"/>
    <xf numFmtId="0" fontId="1" fillId="5" borderId="1" xfId="0" applyFont="1" applyFill="1" applyBorder="1" applyAlignment="1">
      <alignment horizontal="left" wrapText="1"/>
    </xf>
    <xf numFmtId="0" fontId="0" fillId="0" borderId="0" xfId="0" applyAlignment="1">
      <alignment horizontal="left"/>
    </xf>
    <xf numFmtId="0" fontId="1" fillId="0" borderId="1" xfId="0" applyFont="1" applyBorder="1" applyAlignment="1">
      <alignment horizontal="left"/>
    </xf>
    <xf numFmtId="2" fontId="0" fillId="6" borderId="1" xfId="0" applyNumberFormat="1" applyFont="1" applyFill="1" applyBorder="1"/>
    <xf numFmtId="0" fontId="1" fillId="0" borderId="1" xfId="0" applyFont="1" applyBorder="1" applyAlignment="1">
      <alignment horizontal="center"/>
    </xf>
    <xf numFmtId="0" fontId="1" fillId="5" borderId="1" xfId="0" applyFont="1" applyFill="1" applyBorder="1" applyAlignment="1">
      <alignment horizontal="center" wrapText="1"/>
    </xf>
    <xf numFmtId="0" fontId="0" fillId="0" borderId="1" xfId="0" applyBorder="1" applyAlignment="1">
      <alignment wrapText="1"/>
    </xf>
    <xf numFmtId="0" fontId="0" fillId="0" borderId="1" xfId="0" applyBorder="1" applyAlignment="1">
      <alignment horizontal="left" wrapText="1"/>
    </xf>
    <xf numFmtId="0" fontId="0" fillId="0" borderId="0" xfId="0" applyFill="1" applyBorder="1" applyAlignment="1">
      <alignment horizontal="left" wrapText="1"/>
    </xf>
    <xf numFmtId="0" fontId="0" fillId="0" borderId="0" xfId="0" applyBorder="1"/>
    <xf numFmtId="2" fontId="0" fillId="6" borderId="1" xfId="0" applyNumberFormat="1" applyFill="1" applyBorder="1"/>
    <xf numFmtId="0" fontId="0" fillId="0" borderId="1" xfId="0" applyFont="1" applyBorder="1" applyAlignment="1">
      <alignment horizontal="left" wrapText="1"/>
    </xf>
    <xf numFmtId="0" fontId="1" fillId="0" borderId="0" xfId="0" applyFont="1" applyFill="1" applyBorder="1"/>
    <xf numFmtId="0" fontId="0" fillId="0" borderId="0" xfId="0" applyFont="1" applyFill="1"/>
    <xf numFmtId="0" fontId="5" fillId="0" borderId="0" xfId="0" applyFont="1" applyFill="1" applyBorder="1"/>
    <xf numFmtId="0" fontId="0" fillId="0" borderId="0" xfId="0" applyFont="1" applyFill="1" applyBorder="1" applyAlignment="1"/>
    <xf numFmtId="0" fontId="0" fillId="7" borderId="0" xfId="0" applyFont="1" applyFill="1"/>
    <xf numFmtId="2" fontId="0" fillId="0" borderId="0" xfId="0" applyNumberFormat="1" applyFill="1" applyBorder="1"/>
    <xf numFmtId="0" fontId="0" fillId="0" borderId="0" xfId="0" applyFont="1" applyFill="1" applyBorder="1" applyAlignment="1">
      <alignment horizontal="left" wrapText="1"/>
    </xf>
    <xf numFmtId="0" fontId="0" fillId="0" borderId="1" xfId="0" applyBorder="1" applyAlignment="1">
      <alignment horizontal="left" wrapText="1"/>
    </xf>
    <xf numFmtId="2" fontId="0" fillId="0" borderId="0" xfId="0" applyNumberFormat="1" applyFont="1" applyFill="1" applyBorder="1"/>
    <xf numFmtId="1" fontId="0" fillId="6" borderId="1" xfId="0" applyNumberFormat="1" applyFill="1" applyBorder="1"/>
    <xf numFmtId="164" fontId="0" fillId="0" borderId="0" xfId="0" applyNumberFormat="1" applyFill="1" applyBorder="1"/>
    <xf numFmtId="0" fontId="6" fillId="0" borderId="0" xfId="1"/>
    <xf numFmtId="0" fontId="0" fillId="0" borderId="0" xfId="0" applyProtection="1">
      <protection locked="0"/>
    </xf>
    <xf numFmtId="0" fontId="0" fillId="0" borderId="0" xfId="0" applyProtection="1"/>
    <xf numFmtId="0" fontId="0" fillId="0" borderId="0" xfId="0" applyAlignment="1">
      <alignment horizontal="center" vertical="center"/>
    </xf>
    <xf numFmtId="0" fontId="0" fillId="0" borderId="0" xfId="0" applyAlignment="1">
      <alignment horizontal="right"/>
    </xf>
    <xf numFmtId="0" fontId="11" fillId="0" borderId="0" xfId="0" applyFont="1"/>
    <xf numFmtId="0" fontId="11" fillId="0" borderId="0" xfId="0" applyFont="1" applyAlignment="1">
      <alignment horizontal="left"/>
    </xf>
    <xf numFmtId="0" fontId="11" fillId="0" borderId="0" xfId="0" applyFont="1" applyBorder="1" applyAlignment="1">
      <alignment horizontal="left" vertical="center" wrapText="1"/>
    </xf>
    <xf numFmtId="0" fontId="11" fillId="0" borderId="0" xfId="0" applyFont="1" applyBorder="1" applyAlignment="1">
      <alignment horizontal="left"/>
    </xf>
    <xf numFmtId="0" fontId="11" fillId="0" borderId="0" xfId="0" applyFont="1" applyBorder="1" applyAlignment="1">
      <alignment wrapText="1"/>
    </xf>
    <xf numFmtId="0" fontId="11" fillId="0" borderId="0" xfId="0" applyFont="1" applyBorder="1" applyAlignment="1">
      <alignment horizontal="left" wrapText="1"/>
    </xf>
    <xf numFmtId="0" fontId="10" fillId="0" borderId="0" xfId="0" applyFont="1" applyBorder="1" applyAlignment="1">
      <alignment wrapText="1"/>
    </xf>
    <xf numFmtId="0" fontId="10" fillId="0" borderId="0" xfId="0" applyFont="1"/>
    <xf numFmtId="0" fontId="11" fillId="0" borderId="0" xfId="0" applyFont="1" applyAlignment="1">
      <alignment horizontal="right"/>
    </xf>
    <xf numFmtId="0" fontId="11" fillId="0" borderId="0" xfId="0" applyFont="1" applyAlignment="1">
      <alignment horizontal="center" vertical="center"/>
    </xf>
    <xf numFmtId="0" fontId="11" fillId="13" borderId="1" xfId="0" applyFont="1" applyFill="1" applyBorder="1" applyAlignment="1" applyProtection="1">
      <alignment vertical="center"/>
    </xf>
    <xf numFmtId="0" fontId="11" fillId="13" borderId="1" xfId="0" applyFont="1" applyFill="1" applyBorder="1" applyAlignment="1" applyProtection="1">
      <alignment horizontal="right" vertical="center" wrapText="1"/>
    </xf>
    <xf numFmtId="9" fontId="11" fillId="13" borderId="1" xfId="0" applyNumberFormat="1" applyFont="1" applyFill="1" applyBorder="1" applyAlignment="1">
      <alignment horizontal="right" vertical="center"/>
    </xf>
    <xf numFmtId="0" fontId="11" fillId="13" borderId="1" xfId="0" applyFont="1" applyFill="1" applyBorder="1" applyAlignment="1">
      <alignment vertical="center"/>
    </xf>
    <xf numFmtId="0" fontId="10" fillId="8" borderId="13" xfId="0" applyFont="1" applyFill="1" applyBorder="1" applyAlignment="1">
      <alignment vertical="center" wrapText="1"/>
    </xf>
    <xf numFmtId="0" fontId="10" fillId="16" borderId="14" xfId="0" applyFont="1" applyFill="1" applyBorder="1" applyAlignment="1">
      <alignment vertical="center" wrapText="1"/>
    </xf>
    <xf numFmtId="0" fontId="10" fillId="8" borderId="15" xfId="0" applyFont="1" applyFill="1" applyBorder="1" applyAlignment="1">
      <alignment vertical="center" wrapText="1"/>
    </xf>
    <xf numFmtId="0" fontId="10" fillId="8" borderId="21" xfId="0" applyFont="1" applyFill="1" applyBorder="1" applyAlignment="1">
      <alignment vertical="center" wrapText="1"/>
    </xf>
    <xf numFmtId="0" fontId="10" fillId="8" borderId="9" xfId="0" applyFont="1" applyFill="1" applyBorder="1" applyAlignment="1">
      <alignment vertical="center" wrapText="1"/>
    </xf>
    <xf numFmtId="0" fontId="10" fillId="8" borderId="22" xfId="0" applyFont="1" applyFill="1" applyBorder="1" applyAlignment="1">
      <alignment vertical="center" wrapText="1"/>
    </xf>
    <xf numFmtId="0" fontId="10" fillId="8" borderId="15" xfId="0" applyFont="1" applyFill="1" applyBorder="1" applyAlignment="1">
      <alignment horizontal="left" vertical="center" wrapText="1"/>
    </xf>
    <xf numFmtId="0" fontId="8" fillId="0" borderId="0" xfId="0" applyFont="1" applyFill="1" applyBorder="1" applyAlignment="1" applyProtection="1">
      <alignment vertical="center"/>
    </xf>
    <xf numFmtId="0" fontId="10" fillId="14" borderId="13" xfId="0" applyFont="1" applyFill="1" applyBorder="1" applyAlignment="1" applyProtection="1">
      <alignment horizontal="left" vertical="center" wrapText="1"/>
    </xf>
    <xf numFmtId="0" fontId="10" fillId="14" borderId="14" xfId="0" applyFont="1" applyFill="1" applyBorder="1" applyAlignment="1" applyProtection="1">
      <alignment horizontal="left" vertical="center" wrapText="1"/>
    </xf>
    <xf numFmtId="0" fontId="10" fillId="15" borderId="14" xfId="0" applyFont="1" applyFill="1" applyBorder="1" applyAlignment="1" applyProtection="1">
      <alignment horizontal="left" vertical="center" wrapText="1"/>
    </xf>
    <xf numFmtId="0" fontId="10" fillId="14" borderId="15" xfId="0" applyFont="1" applyFill="1" applyBorder="1" applyAlignment="1" applyProtection="1">
      <alignment horizontal="left" vertical="center" wrapText="1"/>
    </xf>
    <xf numFmtId="0" fontId="10" fillId="14" borderId="13" xfId="0" applyFont="1" applyFill="1" applyBorder="1" applyAlignment="1" applyProtection="1">
      <alignment vertical="center" wrapText="1"/>
    </xf>
    <xf numFmtId="0" fontId="10" fillId="15" borderId="14" xfId="0" applyFont="1" applyFill="1" applyBorder="1" applyAlignment="1" applyProtection="1">
      <alignment vertical="center" wrapText="1"/>
    </xf>
    <xf numFmtId="0" fontId="10" fillId="14" borderId="15" xfId="0" applyFont="1" applyFill="1" applyBorder="1" applyAlignment="1" applyProtection="1">
      <alignment vertical="center" wrapText="1"/>
    </xf>
    <xf numFmtId="9" fontId="11" fillId="13" borderId="19" xfId="0" applyNumberFormat="1" applyFont="1" applyFill="1" applyBorder="1" applyAlignment="1">
      <alignment horizontal="right" vertical="center"/>
    </xf>
    <xf numFmtId="0" fontId="11" fillId="13" borderId="19" xfId="0" applyFont="1" applyFill="1" applyBorder="1" applyAlignment="1">
      <alignment vertical="center"/>
    </xf>
    <xf numFmtId="0" fontId="10" fillId="17" borderId="13" xfId="0" applyFont="1" applyFill="1" applyBorder="1" applyAlignment="1">
      <alignment horizontal="left" vertical="center" wrapText="1"/>
    </xf>
    <xf numFmtId="0" fontId="10" fillId="17" borderId="14" xfId="0" applyFont="1" applyFill="1" applyBorder="1" applyAlignment="1">
      <alignment horizontal="left" vertical="center" wrapText="1"/>
    </xf>
    <xf numFmtId="0" fontId="10" fillId="18" borderId="14" xfId="0" applyFont="1" applyFill="1" applyBorder="1" applyAlignment="1">
      <alignment horizontal="left" vertical="center" wrapText="1"/>
    </xf>
    <xf numFmtId="0" fontId="10" fillId="17" borderId="15" xfId="0" applyFont="1" applyFill="1" applyBorder="1" applyAlignment="1">
      <alignment horizontal="left" vertical="center" wrapText="1"/>
    </xf>
    <xf numFmtId="0" fontId="14" fillId="13" borderId="19" xfId="0" applyFont="1" applyFill="1" applyBorder="1" applyAlignment="1">
      <alignment horizontal="right" vertical="center"/>
    </xf>
    <xf numFmtId="0" fontId="11" fillId="13" borderId="19" xfId="0" applyFont="1" applyFill="1" applyBorder="1"/>
    <xf numFmtId="0" fontId="10" fillId="0" borderId="0" xfId="0" applyFont="1" applyBorder="1" applyAlignment="1">
      <alignment vertical="center"/>
    </xf>
    <xf numFmtId="0" fontId="11" fillId="0" borderId="0" xfId="0" applyFont="1" applyAlignment="1">
      <alignment horizontal="left" vertical="center" wrapText="1"/>
    </xf>
    <xf numFmtId="0" fontId="11" fillId="0" borderId="0" xfId="0" applyFont="1" applyAlignment="1">
      <alignment horizontal="right" vertical="center"/>
    </xf>
    <xf numFmtId="0" fontId="11" fillId="13" borderId="1" xfId="0" applyFont="1" applyFill="1" applyBorder="1" applyAlignment="1">
      <alignment horizontal="right" vertical="center" wrapText="1"/>
    </xf>
    <xf numFmtId="0" fontId="10" fillId="19" borderId="2" xfId="0" applyFont="1" applyFill="1" applyBorder="1" applyAlignment="1" applyProtection="1">
      <alignment horizontal="left" vertical="center" wrapText="1"/>
    </xf>
    <xf numFmtId="0" fontId="10" fillId="6" borderId="2" xfId="0" applyFont="1" applyFill="1" applyBorder="1" applyAlignment="1" applyProtection="1">
      <alignment horizontal="left" vertical="center" wrapText="1"/>
    </xf>
    <xf numFmtId="0" fontId="11" fillId="13" borderId="14" xfId="0" applyFont="1" applyFill="1" applyBorder="1" applyAlignment="1">
      <alignment horizontal="right" vertical="center"/>
    </xf>
    <xf numFmtId="0" fontId="10" fillId="19" borderId="13" xfId="0" applyFont="1" applyFill="1" applyBorder="1" applyAlignment="1" applyProtection="1">
      <alignment horizontal="left" vertical="center" wrapText="1"/>
    </xf>
    <xf numFmtId="0" fontId="10" fillId="19" borderId="14" xfId="0" applyFont="1" applyFill="1" applyBorder="1" applyAlignment="1" applyProtection="1">
      <alignment horizontal="left" vertical="center" wrapText="1"/>
    </xf>
    <xf numFmtId="0" fontId="10" fillId="6" borderId="14" xfId="0" applyFont="1" applyFill="1" applyBorder="1" applyAlignment="1" applyProtection="1">
      <alignment horizontal="left" vertical="center" wrapText="1"/>
    </xf>
    <xf numFmtId="0" fontId="10" fillId="19" borderId="15" xfId="0" applyFont="1" applyFill="1" applyBorder="1" applyAlignment="1" applyProtection="1">
      <alignment horizontal="left" vertical="center" wrapText="1"/>
    </xf>
    <xf numFmtId="0" fontId="11" fillId="13" borderId="1" xfId="0" applyFont="1" applyFill="1" applyBorder="1"/>
    <xf numFmtId="0" fontId="0" fillId="0" borderId="0" xfId="0" applyAlignment="1">
      <alignment vertical="center"/>
    </xf>
    <xf numFmtId="0" fontId="10" fillId="19" borderId="14" xfId="0" applyFont="1" applyFill="1" applyBorder="1" applyAlignment="1" applyProtection="1">
      <alignment vertical="center" wrapText="1"/>
    </xf>
    <xf numFmtId="0" fontId="10" fillId="8" borderId="14" xfId="0" applyFont="1" applyFill="1" applyBorder="1" applyAlignment="1">
      <alignment vertical="center" wrapText="1"/>
    </xf>
    <xf numFmtId="0" fontId="11" fillId="13" borderId="19" xfId="0" applyFont="1" applyFill="1" applyBorder="1" applyAlignment="1">
      <alignment horizontal="right" vertical="center"/>
    </xf>
    <xf numFmtId="0" fontId="10" fillId="8" borderId="13" xfId="0" applyFont="1" applyFill="1" applyBorder="1" applyAlignment="1">
      <alignment horizontal="left" vertical="center" wrapText="1"/>
    </xf>
    <xf numFmtId="0" fontId="11" fillId="13" borderId="1" xfId="0" applyFont="1" applyFill="1" applyBorder="1" applyAlignment="1">
      <alignment horizontal="right" vertical="center"/>
    </xf>
    <xf numFmtId="0" fontId="11" fillId="0" borderId="1" xfId="0" applyFont="1" applyBorder="1" applyAlignment="1" applyProtection="1">
      <alignment horizontal="right" vertical="center"/>
      <protection locked="0"/>
    </xf>
    <xf numFmtId="0" fontId="11" fillId="0" borderId="19" xfId="0" applyFont="1" applyBorder="1" applyAlignment="1" applyProtection="1">
      <alignment horizontal="right" vertical="center"/>
      <protection locked="0"/>
    </xf>
    <xf numFmtId="0" fontId="11" fillId="0" borderId="14" xfId="0" applyFont="1" applyBorder="1" applyAlignment="1" applyProtection="1">
      <alignment horizontal="right" vertical="center"/>
      <protection locked="0"/>
    </xf>
    <xf numFmtId="0" fontId="11" fillId="13" borderId="1" xfId="0" applyFont="1" applyFill="1" applyBorder="1" applyAlignment="1" applyProtection="1">
      <alignment vertical="center" wrapText="1"/>
    </xf>
    <xf numFmtId="0" fontId="11" fillId="13" borderId="18" xfId="0" applyFont="1" applyFill="1" applyBorder="1" applyAlignment="1">
      <alignment vertical="center" wrapText="1"/>
    </xf>
    <xf numFmtId="0" fontId="11" fillId="13" borderId="20" xfId="0" applyFont="1" applyFill="1" applyBorder="1" applyAlignment="1">
      <alignment horizontal="right" vertical="center"/>
    </xf>
    <xf numFmtId="0" fontId="11" fillId="13" borderId="17" xfId="0" applyFont="1" applyFill="1" applyBorder="1" applyAlignment="1">
      <alignment horizontal="right" vertical="center"/>
    </xf>
    <xf numFmtId="0" fontId="11" fillId="13" borderId="18" xfId="0" applyFont="1" applyFill="1" applyBorder="1" applyAlignment="1">
      <alignment horizontal="left" vertical="center" wrapText="1"/>
    </xf>
    <xf numFmtId="0" fontId="11" fillId="13" borderId="13" xfId="0" applyFont="1" applyFill="1" applyBorder="1"/>
    <xf numFmtId="0" fontId="11" fillId="13" borderId="16" xfId="0" applyFont="1" applyFill="1" applyBorder="1"/>
    <xf numFmtId="0" fontId="11" fillId="13" borderId="18" xfId="0" applyFont="1" applyFill="1" applyBorder="1"/>
    <xf numFmtId="0" fontId="11" fillId="13" borderId="1" xfId="0" applyFont="1" applyFill="1" applyBorder="1" applyAlignment="1">
      <alignment wrapText="1"/>
    </xf>
    <xf numFmtId="0" fontId="11" fillId="13" borderId="19" xfId="0" applyFont="1" applyFill="1" applyBorder="1" applyAlignment="1">
      <alignment horizontal="right" vertical="center" wrapText="1"/>
    </xf>
    <xf numFmtId="0" fontId="11" fillId="13" borderId="1" xfId="0" applyFont="1" applyFill="1" applyBorder="1" applyAlignment="1">
      <alignment horizontal="left" wrapText="1"/>
    </xf>
    <xf numFmtId="0" fontId="11" fillId="13" borderId="19" xfId="0" applyFont="1" applyFill="1" applyBorder="1" applyAlignment="1">
      <alignment horizontal="left" wrapText="1"/>
    </xf>
    <xf numFmtId="0" fontId="11" fillId="13" borderId="1" xfId="0" applyFont="1" applyFill="1" applyBorder="1" applyAlignment="1">
      <alignment vertical="center" wrapText="1"/>
    </xf>
    <xf numFmtId="0" fontId="10" fillId="14" borderId="1" xfId="0" applyFont="1" applyFill="1" applyBorder="1" applyAlignment="1" applyProtection="1">
      <alignment vertical="center" wrapText="1"/>
    </xf>
    <xf numFmtId="0" fontId="10" fillId="15" borderId="1" xfId="0" applyFont="1" applyFill="1" applyBorder="1" applyAlignment="1" applyProtection="1">
      <alignment vertical="center" wrapText="1"/>
    </xf>
    <xf numFmtId="0" fontId="10" fillId="14" borderId="17" xfId="0" applyFont="1" applyFill="1" applyBorder="1" applyAlignment="1" applyProtection="1">
      <alignment vertical="center" wrapText="1"/>
    </xf>
    <xf numFmtId="0" fontId="11" fillId="13" borderId="19" xfId="0" applyFont="1" applyFill="1" applyBorder="1" applyAlignment="1">
      <alignment wrapText="1"/>
    </xf>
    <xf numFmtId="0" fontId="10" fillId="14" borderId="1" xfId="0" applyFont="1" applyFill="1" applyBorder="1" applyAlignment="1" applyProtection="1">
      <alignment horizontal="left" vertical="center" wrapText="1"/>
    </xf>
    <xf numFmtId="0" fontId="10" fillId="15" borderId="1" xfId="0" applyFont="1" applyFill="1" applyBorder="1" applyAlignment="1" applyProtection="1">
      <alignment horizontal="left" vertical="center" wrapText="1"/>
    </xf>
    <xf numFmtId="0" fontId="10" fillId="14" borderId="17" xfId="0" applyFont="1" applyFill="1" applyBorder="1" applyAlignment="1" applyProtection="1">
      <alignment horizontal="left" vertical="center" wrapText="1"/>
    </xf>
    <xf numFmtId="0" fontId="11" fillId="13" borderId="19" xfId="0" applyFont="1" applyFill="1" applyBorder="1" applyAlignment="1">
      <alignment vertical="center" wrapText="1"/>
    </xf>
    <xf numFmtId="0" fontId="11" fillId="13" borderId="14" xfId="0" applyFont="1" applyFill="1" applyBorder="1"/>
    <xf numFmtId="0" fontId="11" fillId="13" borderId="1" xfId="0" applyFont="1" applyFill="1" applyBorder="1" applyAlignment="1">
      <alignment horizontal="justify" vertical="center"/>
    </xf>
    <xf numFmtId="0" fontId="10" fillId="12" borderId="13" xfId="0" applyFont="1" applyFill="1" applyBorder="1" applyAlignment="1" applyProtection="1">
      <alignment horizontal="left" vertical="center"/>
    </xf>
    <xf numFmtId="0" fontId="10" fillId="12" borderId="14" xfId="0" applyFont="1" applyFill="1" applyBorder="1" applyAlignment="1" applyProtection="1">
      <alignment horizontal="left" vertical="center"/>
    </xf>
    <xf numFmtId="0" fontId="10" fillId="12" borderId="14" xfId="0" applyFont="1" applyFill="1" applyBorder="1" applyAlignment="1" applyProtection="1">
      <alignment horizontal="left" vertical="center" wrapText="1"/>
    </xf>
    <xf numFmtId="0" fontId="10" fillId="9" borderId="14" xfId="0" applyFont="1" applyFill="1" applyBorder="1" applyAlignment="1" applyProtection="1">
      <alignment vertical="center" wrapText="1"/>
    </xf>
    <xf numFmtId="0" fontId="10" fillId="12" borderId="14" xfId="0" applyFont="1" applyFill="1" applyBorder="1" applyAlignment="1" applyProtection="1">
      <alignment vertical="center" wrapText="1"/>
    </xf>
    <xf numFmtId="0" fontId="10" fillId="12" borderId="15" xfId="0" applyFont="1" applyFill="1" applyBorder="1" applyAlignment="1" applyProtection="1">
      <alignment vertical="center" wrapText="1"/>
    </xf>
    <xf numFmtId="0" fontId="11" fillId="13" borderId="16" xfId="0" applyFont="1" applyFill="1" applyBorder="1" applyAlignment="1" applyProtection="1">
      <alignment vertical="center" wrapText="1"/>
    </xf>
    <xf numFmtId="0" fontId="11" fillId="13" borderId="18" xfId="0" applyFont="1" applyFill="1" applyBorder="1" applyAlignment="1" applyProtection="1">
      <alignment vertical="center" wrapText="1"/>
    </xf>
    <xf numFmtId="0" fontId="11" fillId="13" borderId="19" xfId="0" applyFont="1" applyFill="1" applyBorder="1" applyAlignment="1" applyProtection="1">
      <alignment vertical="center" wrapText="1"/>
    </xf>
    <xf numFmtId="0" fontId="11" fillId="13" borderId="19" xfId="0" applyFont="1" applyFill="1" applyBorder="1" applyAlignment="1" applyProtection="1">
      <alignment vertical="center"/>
    </xf>
    <xf numFmtId="0" fontId="11" fillId="13" borderId="19" xfId="0" applyFont="1" applyFill="1" applyBorder="1" applyAlignment="1" applyProtection="1">
      <alignment horizontal="right" vertical="center" wrapText="1"/>
    </xf>
    <xf numFmtId="0" fontId="10" fillId="9" borderId="14" xfId="0" applyFont="1" applyFill="1" applyBorder="1" applyAlignment="1" applyProtection="1">
      <alignment horizontal="left" vertical="center" wrapText="1"/>
    </xf>
    <xf numFmtId="0" fontId="10" fillId="12" borderId="15" xfId="0" applyFont="1" applyFill="1" applyBorder="1" applyAlignment="1" applyProtection="1">
      <alignment horizontal="left" vertical="center" wrapText="1"/>
    </xf>
    <xf numFmtId="0" fontId="11" fillId="13" borderId="19" xfId="0" applyFont="1" applyFill="1" applyBorder="1" applyAlignment="1" applyProtection="1">
      <alignment horizontal="left" vertical="center" wrapText="1"/>
    </xf>
    <xf numFmtId="0" fontId="11" fillId="0" borderId="19" xfId="0" applyFont="1" applyFill="1" applyBorder="1" applyAlignment="1" applyProtection="1">
      <alignment horizontal="right" vertical="center"/>
      <protection locked="0"/>
    </xf>
    <xf numFmtId="0" fontId="11" fillId="13" borderId="19" xfId="0" applyFont="1" applyFill="1" applyBorder="1" applyAlignment="1" applyProtection="1">
      <alignment horizontal="right" vertical="center"/>
    </xf>
    <xf numFmtId="0" fontId="10" fillId="8" borderId="1" xfId="0" applyFont="1" applyFill="1" applyBorder="1" applyAlignment="1">
      <alignment horizontal="left" vertical="center" wrapText="1"/>
    </xf>
    <xf numFmtId="0" fontId="10" fillId="8" borderId="17" xfId="0" applyFont="1" applyFill="1" applyBorder="1" applyAlignment="1">
      <alignment horizontal="left" vertical="center" wrapText="1"/>
    </xf>
    <xf numFmtId="0" fontId="11" fillId="0" borderId="0" xfId="0" applyFont="1" applyAlignment="1" applyProtection="1">
      <alignment horizontal="right" vertical="center"/>
      <protection locked="0"/>
    </xf>
    <xf numFmtId="9" fontId="11" fillId="0" borderId="1" xfId="0" applyNumberFormat="1" applyFont="1" applyBorder="1" applyAlignment="1" applyProtection="1">
      <alignment horizontal="right" vertical="center"/>
      <protection locked="0"/>
    </xf>
    <xf numFmtId="0" fontId="10" fillId="12" borderId="14" xfId="0" applyFont="1" applyFill="1" applyBorder="1" applyAlignment="1" applyProtection="1">
      <alignment horizontal="left" vertical="center" wrapText="1"/>
    </xf>
    <xf numFmtId="0" fontId="11" fillId="13" borderId="2" xfId="0" applyFont="1" applyFill="1" applyBorder="1" applyAlignment="1">
      <alignment horizontal="right" vertical="center"/>
    </xf>
    <xf numFmtId="0" fontId="10" fillId="8" borderId="14" xfId="0" applyFont="1" applyFill="1" applyBorder="1" applyAlignment="1">
      <alignment horizontal="left" vertical="center" wrapText="1"/>
    </xf>
    <xf numFmtId="0" fontId="11" fillId="13" borderId="1" xfId="0" applyFont="1" applyFill="1" applyBorder="1" applyAlignment="1">
      <alignment horizontal="right" vertical="center"/>
    </xf>
    <xf numFmtId="0" fontId="11" fillId="0" borderId="1" xfId="0" applyFont="1" applyBorder="1" applyAlignment="1" applyProtection="1">
      <alignment horizontal="right" vertical="center"/>
      <protection locked="0"/>
    </xf>
    <xf numFmtId="0" fontId="11" fillId="13" borderId="18" xfId="0" applyFont="1" applyFill="1" applyBorder="1" applyAlignment="1">
      <alignment horizontal="left" vertical="center" wrapText="1"/>
    </xf>
    <xf numFmtId="0" fontId="11" fillId="13" borderId="19" xfId="0" applyFont="1" applyFill="1" applyBorder="1" applyAlignment="1">
      <alignment horizontal="right" vertical="center"/>
    </xf>
    <xf numFmtId="0" fontId="10" fillId="8" borderId="1" xfId="0" applyFont="1" applyFill="1" applyBorder="1" applyAlignment="1">
      <alignment vertical="center" wrapText="1"/>
    </xf>
    <xf numFmtId="0" fontId="11" fillId="13" borderId="14" xfId="0" applyFont="1" applyFill="1" applyBorder="1" applyAlignment="1">
      <alignment horizontal="right" vertical="center"/>
    </xf>
    <xf numFmtId="0" fontId="10" fillId="14" borderId="1" xfId="0" applyFont="1" applyFill="1" applyBorder="1" applyAlignment="1" applyProtection="1">
      <alignment vertical="center" wrapText="1"/>
    </xf>
    <xf numFmtId="0" fontId="10" fillId="14" borderId="14" xfId="0" applyFont="1" applyFill="1" applyBorder="1" applyAlignment="1" applyProtection="1">
      <alignment horizontal="left" vertical="center" wrapText="1"/>
    </xf>
    <xf numFmtId="0" fontId="11" fillId="0" borderId="19" xfId="0" applyFont="1" applyBorder="1" applyAlignment="1" applyProtection="1">
      <alignment horizontal="right" vertical="center"/>
      <protection locked="0"/>
    </xf>
    <xf numFmtId="0" fontId="10" fillId="14" borderId="14" xfId="0" applyFont="1" applyFill="1" applyBorder="1" applyAlignment="1" applyProtection="1">
      <alignment vertical="center" wrapText="1"/>
    </xf>
    <xf numFmtId="0" fontId="11" fillId="13" borderId="19" xfId="0" applyFont="1" applyFill="1" applyBorder="1" applyAlignment="1">
      <alignment horizontal="right" vertical="center"/>
    </xf>
    <xf numFmtId="0" fontId="11" fillId="13" borderId="1" xfId="0" applyFont="1" applyFill="1" applyBorder="1" applyAlignment="1">
      <alignment horizontal="right" vertical="center"/>
    </xf>
    <xf numFmtId="0" fontId="11" fillId="0" borderId="1" xfId="0" applyFont="1" applyBorder="1" applyAlignment="1" applyProtection="1">
      <alignment horizontal="right" vertical="center"/>
      <protection locked="0"/>
    </xf>
    <xf numFmtId="0" fontId="11" fillId="13" borderId="2" xfId="0" applyFont="1" applyFill="1" applyBorder="1" applyAlignment="1">
      <alignment horizontal="right" vertical="center"/>
    </xf>
    <xf numFmtId="0" fontId="11" fillId="0" borderId="19" xfId="0" applyFont="1" applyBorder="1" applyAlignment="1" applyProtection="1">
      <alignment horizontal="right" vertical="center"/>
      <protection locked="0"/>
    </xf>
    <xf numFmtId="0" fontId="10" fillId="16" borderId="1" xfId="0" applyFont="1" applyFill="1" applyBorder="1" applyAlignment="1">
      <alignment vertical="center" wrapText="1"/>
    </xf>
    <xf numFmtId="49" fontId="0" fillId="0" borderId="0" xfId="0" applyNumberFormat="1" applyAlignment="1">
      <alignment horizontal="center" vertical="center"/>
    </xf>
    <xf numFmtId="164" fontId="11" fillId="13" borderId="19" xfId="0" applyNumberFormat="1" applyFont="1" applyFill="1" applyBorder="1" applyAlignment="1">
      <alignment horizontal="right" vertical="center"/>
    </xf>
    <xf numFmtId="164" fontId="11" fillId="13" borderId="1" xfId="0" applyNumberFormat="1" applyFont="1" applyFill="1" applyBorder="1" applyAlignment="1">
      <alignment horizontal="right" vertical="center"/>
    </xf>
    <xf numFmtId="164" fontId="11" fillId="13" borderId="14" xfId="0" applyNumberFormat="1" applyFont="1" applyFill="1" applyBorder="1" applyAlignment="1">
      <alignment horizontal="right" vertical="center"/>
    </xf>
    <xf numFmtId="164" fontId="11" fillId="13" borderId="1" xfId="0" applyNumberFormat="1" applyFont="1" applyFill="1" applyBorder="1" applyAlignment="1">
      <alignment vertical="center"/>
    </xf>
    <xf numFmtId="164" fontId="11" fillId="13" borderId="19" xfId="0" applyNumberFormat="1" applyFont="1" applyFill="1" applyBorder="1" applyAlignment="1">
      <alignment vertical="center"/>
    </xf>
    <xf numFmtId="0" fontId="10" fillId="6" borderId="14" xfId="0" applyFont="1" applyFill="1" applyBorder="1" applyAlignment="1">
      <alignment vertical="center" wrapText="1"/>
    </xf>
    <xf numFmtId="164" fontId="11" fillId="0" borderId="38" xfId="0" applyNumberFormat="1" applyFont="1" applyBorder="1" applyAlignment="1">
      <alignment vertical="center"/>
    </xf>
    <xf numFmtId="164" fontId="11" fillId="0" borderId="39" xfId="0" applyNumberFormat="1" applyFont="1" applyBorder="1" applyAlignment="1">
      <alignment vertical="center"/>
    </xf>
    <xf numFmtId="164" fontId="11" fillId="13" borderId="20" xfId="0" applyNumberFormat="1" applyFont="1" applyFill="1" applyBorder="1" applyAlignment="1">
      <alignment horizontal="right" vertical="center"/>
    </xf>
    <xf numFmtId="164" fontId="11" fillId="13" borderId="20" xfId="0" applyNumberFormat="1" applyFont="1" applyFill="1" applyBorder="1" applyAlignment="1">
      <alignment vertical="center"/>
    </xf>
    <xf numFmtId="164" fontId="11" fillId="13" borderId="17" xfId="0" applyNumberFormat="1" applyFont="1" applyFill="1" applyBorder="1"/>
    <xf numFmtId="164" fontId="11" fillId="13" borderId="17" xfId="0" applyNumberFormat="1" applyFont="1" applyFill="1" applyBorder="1" applyAlignment="1">
      <alignment horizontal="right" vertical="center"/>
    </xf>
    <xf numFmtId="164" fontId="11" fillId="13" borderId="17" xfId="0" applyNumberFormat="1" applyFont="1" applyFill="1" applyBorder="1" applyAlignment="1">
      <alignment vertical="center"/>
    </xf>
    <xf numFmtId="164" fontId="11" fillId="13" borderId="20" xfId="0" applyNumberFormat="1" applyFont="1" applyFill="1" applyBorder="1"/>
    <xf numFmtId="164" fontId="11" fillId="13" borderId="15" xfId="0" applyNumberFormat="1" applyFont="1" applyFill="1" applyBorder="1" applyAlignment="1">
      <alignment horizontal="right" vertical="center"/>
    </xf>
    <xf numFmtId="0" fontId="10" fillId="14" borderId="13" xfId="0" applyFont="1" applyFill="1" applyBorder="1" applyAlignment="1">
      <alignment horizontal="left" vertical="center" wrapText="1"/>
    </xf>
    <xf numFmtId="0" fontId="10" fillId="14" borderId="15" xfId="0" applyFont="1" applyFill="1" applyBorder="1" applyAlignment="1">
      <alignment horizontal="left" vertical="center" wrapText="1"/>
    </xf>
    <xf numFmtId="0" fontId="10" fillId="15" borderId="14" xfId="0" applyFont="1" applyFill="1" applyBorder="1" applyAlignment="1">
      <alignment horizontal="left" vertical="center" wrapText="1"/>
    </xf>
    <xf numFmtId="164" fontId="0" fillId="13" borderId="17" xfId="0" applyNumberFormat="1" applyFill="1" applyBorder="1" applyAlignment="1">
      <alignment horizontal="right"/>
    </xf>
    <xf numFmtId="164" fontId="0" fillId="13" borderId="17" xfId="0" applyNumberFormat="1" applyFill="1" applyBorder="1"/>
    <xf numFmtId="164" fontId="0" fillId="13" borderId="20" xfId="0" applyNumberFormat="1" applyFill="1" applyBorder="1"/>
    <xf numFmtId="0" fontId="10" fillId="8" borderId="17" xfId="0" applyFont="1" applyFill="1" applyBorder="1" applyAlignment="1">
      <alignment vertical="center" wrapText="1"/>
    </xf>
    <xf numFmtId="0" fontId="10" fillId="19" borderId="13" xfId="0" applyFont="1" applyFill="1" applyBorder="1" applyAlignment="1">
      <alignment vertical="center" wrapText="1"/>
    </xf>
    <xf numFmtId="0" fontId="10" fillId="19" borderId="14" xfId="0" applyFont="1" applyFill="1" applyBorder="1" applyAlignment="1">
      <alignment vertical="center" wrapText="1"/>
    </xf>
    <xf numFmtId="0" fontId="10" fillId="19" borderId="15" xfId="0" applyFont="1" applyFill="1" applyBorder="1" applyAlignment="1">
      <alignment vertical="center" wrapText="1"/>
    </xf>
    <xf numFmtId="0" fontId="10" fillId="21" borderId="37" xfId="0" applyFont="1" applyFill="1" applyBorder="1" applyAlignment="1">
      <alignment vertical="center" wrapText="1"/>
    </xf>
    <xf numFmtId="0" fontId="10" fillId="21" borderId="39" xfId="0" applyFont="1" applyFill="1" applyBorder="1" applyAlignment="1">
      <alignment vertical="center" wrapText="1"/>
    </xf>
    <xf numFmtId="164" fontId="0" fillId="13" borderId="39" xfId="0" applyNumberFormat="1" applyFill="1" applyBorder="1" applyAlignment="1" applyProtection="1">
      <alignment vertical="center"/>
    </xf>
    <xf numFmtId="164" fontId="0" fillId="13" borderId="38" xfId="0" applyNumberFormat="1" applyFill="1" applyBorder="1" applyAlignment="1" applyProtection="1">
      <alignment vertical="center"/>
    </xf>
    <xf numFmtId="164" fontId="11" fillId="13" borderId="38" xfId="0" applyNumberFormat="1" applyFont="1" applyFill="1" applyBorder="1" applyAlignment="1">
      <alignment vertical="center"/>
    </xf>
    <xf numFmtId="0" fontId="0" fillId="0" borderId="4" xfId="0" applyFont="1" applyBorder="1" applyAlignment="1">
      <alignment horizontal="center" vertical="center"/>
    </xf>
    <xf numFmtId="164" fontId="11" fillId="13" borderId="39" xfId="0" applyNumberFormat="1" applyFont="1" applyFill="1" applyBorder="1" applyAlignment="1">
      <alignment vertical="center"/>
    </xf>
    <xf numFmtId="164" fontId="10" fillId="13" borderId="39" xfId="0" applyNumberFormat="1" applyFont="1" applyFill="1" applyBorder="1" applyAlignment="1">
      <alignment vertical="center"/>
    </xf>
    <xf numFmtId="164" fontId="10" fillId="13" borderId="38" xfId="0" applyNumberFormat="1" applyFont="1" applyFill="1" applyBorder="1" applyAlignment="1">
      <alignment vertical="center"/>
    </xf>
    <xf numFmtId="0" fontId="11" fillId="0" borderId="0" xfId="0" applyFont="1" applyAlignment="1">
      <alignment vertical="center"/>
    </xf>
    <xf numFmtId="0" fontId="11" fillId="0" borderId="0" xfId="0" applyFont="1" applyAlignment="1">
      <alignment horizontal="left" vertical="center"/>
    </xf>
    <xf numFmtId="0" fontId="11" fillId="0" borderId="0" xfId="0" applyFont="1" applyFill="1" applyBorder="1" applyAlignment="1">
      <alignment vertical="center"/>
    </xf>
    <xf numFmtId="164" fontId="11" fillId="13" borderId="1" xfId="0" applyNumberFormat="1" applyFont="1" applyFill="1" applyBorder="1" applyAlignment="1" applyProtection="1">
      <alignment vertical="center"/>
    </xf>
    <xf numFmtId="164" fontId="11" fillId="13" borderId="19" xfId="0" applyNumberFormat="1" applyFont="1" applyFill="1" applyBorder="1" applyAlignment="1" applyProtection="1">
      <alignment vertical="center"/>
    </xf>
    <xf numFmtId="164" fontId="11" fillId="13" borderId="17" xfId="0" applyNumberFormat="1" applyFont="1" applyFill="1" applyBorder="1" applyAlignment="1" applyProtection="1">
      <alignment vertical="center"/>
    </xf>
    <xf numFmtId="164" fontId="11" fillId="13" borderId="20" xfId="0" applyNumberFormat="1" applyFont="1" applyFill="1" applyBorder="1" applyAlignment="1" applyProtection="1">
      <alignment vertical="center"/>
    </xf>
    <xf numFmtId="164" fontId="11" fillId="13" borderId="19" xfId="0" applyNumberFormat="1" applyFont="1" applyFill="1" applyBorder="1" applyAlignment="1" applyProtection="1">
      <alignment horizontal="right" vertical="center"/>
    </xf>
    <xf numFmtId="164" fontId="11" fillId="13" borderId="20" xfId="0" applyNumberFormat="1" applyFont="1" applyFill="1" applyBorder="1" applyAlignment="1" applyProtection="1">
      <alignment horizontal="right" vertical="center"/>
    </xf>
    <xf numFmtId="0" fontId="11" fillId="0" borderId="19" xfId="0" applyFont="1" applyBorder="1" applyAlignment="1">
      <alignment horizontal="right" vertical="center"/>
    </xf>
    <xf numFmtId="9" fontId="11" fillId="0" borderId="19" xfId="0" applyNumberFormat="1" applyFont="1" applyBorder="1" applyAlignment="1" applyProtection="1">
      <alignment horizontal="right" vertical="center"/>
      <protection locked="0"/>
    </xf>
    <xf numFmtId="164" fontId="13" fillId="13" borderId="19" xfId="0" applyNumberFormat="1" applyFont="1" applyFill="1" applyBorder="1" applyAlignment="1">
      <alignment horizontal="right" vertical="center"/>
    </xf>
    <xf numFmtId="0" fontId="10" fillId="11" borderId="13" xfId="0" applyFont="1" applyFill="1" applyBorder="1" applyAlignment="1">
      <alignment vertical="center" wrapText="1"/>
    </xf>
    <xf numFmtId="0" fontId="10" fillId="11" borderId="14" xfId="0" applyFont="1" applyFill="1" applyBorder="1" applyAlignment="1">
      <alignment vertical="center"/>
    </xf>
    <xf numFmtId="0" fontId="10" fillId="11" borderId="14" xfId="0" applyFont="1" applyFill="1" applyBorder="1" applyAlignment="1">
      <alignment vertical="center" wrapText="1"/>
    </xf>
    <xf numFmtId="0" fontId="10" fillId="10" borderId="14" xfId="0" applyFont="1" applyFill="1" applyBorder="1" applyAlignment="1">
      <alignment vertical="center" wrapText="1"/>
    </xf>
    <xf numFmtId="0" fontId="10" fillId="11" borderId="15" xfId="0" applyFont="1" applyFill="1" applyBorder="1" applyAlignment="1">
      <alignment vertical="center" wrapText="1"/>
    </xf>
    <xf numFmtId="0" fontId="11" fillId="13" borderId="2" xfId="0" applyFont="1" applyFill="1" applyBorder="1" applyAlignment="1">
      <alignment vertical="center" wrapText="1"/>
    </xf>
    <xf numFmtId="0" fontId="11" fillId="0" borderId="2" xfId="0" applyFont="1" applyBorder="1" applyAlignment="1" applyProtection="1">
      <alignment horizontal="right" vertical="center"/>
      <protection locked="0"/>
    </xf>
    <xf numFmtId="0" fontId="11" fillId="13" borderId="41" xfId="0" applyFont="1" applyFill="1" applyBorder="1" applyAlignment="1">
      <alignment horizontal="right" vertical="center"/>
    </xf>
    <xf numFmtId="0" fontId="11" fillId="0" borderId="19" xfId="0" applyFont="1" applyFill="1" applyBorder="1" applyAlignment="1" applyProtection="1">
      <alignment horizontal="right" vertical="center" wrapText="1"/>
      <protection locked="0"/>
    </xf>
    <xf numFmtId="0" fontId="10" fillId="8" borderId="14" xfId="0" applyFont="1" applyFill="1" applyBorder="1" applyAlignment="1">
      <alignment horizontal="left" vertical="center" wrapText="1"/>
    </xf>
    <xf numFmtId="0" fontId="11" fillId="13" borderId="1" xfId="0" applyFont="1" applyFill="1" applyBorder="1" applyAlignment="1">
      <alignment vertical="center"/>
    </xf>
    <xf numFmtId="0" fontId="11" fillId="13" borderId="19" xfId="0" applyFont="1" applyFill="1" applyBorder="1" applyAlignment="1">
      <alignment horizontal="right" vertical="center"/>
    </xf>
    <xf numFmtId="0" fontId="11" fillId="0" borderId="19" xfId="0" applyFont="1" applyBorder="1" applyAlignment="1" applyProtection="1">
      <alignment horizontal="right" vertical="center"/>
      <protection locked="0"/>
    </xf>
    <xf numFmtId="0" fontId="11" fillId="13" borderId="1" xfId="0" applyFont="1" applyFill="1" applyBorder="1" applyAlignment="1">
      <alignment horizontal="right" vertical="center"/>
    </xf>
    <xf numFmtId="0" fontId="11" fillId="0" borderId="1" xfId="0" applyFont="1" applyBorder="1" applyAlignment="1" applyProtection="1">
      <alignment horizontal="right" vertical="center"/>
      <protection locked="0"/>
    </xf>
    <xf numFmtId="0" fontId="10" fillId="14" borderId="14" xfId="0" applyFont="1" applyFill="1" applyBorder="1" applyAlignment="1">
      <alignment horizontal="left" vertical="center" wrapText="1"/>
    </xf>
    <xf numFmtId="0" fontId="10" fillId="14" borderId="1" xfId="0" applyFont="1" applyFill="1" applyBorder="1" applyAlignment="1" applyProtection="1">
      <alignment vertical="center" wrapText="1"/>
    </xf>
    <xf numFmtId="49" fontId="0" fillId="0" borderId="8" xfId="0" applyNumberFormat="1" applyBorder="1" applyAlignment="1" applyProtection="1">
      <alignment horizontal="center" vertical="center"/>
      <protection locked="0"/>
    </xf>
    <xf numFmtId="0" fontId="10" fillId="19" borderId="14" xfId="0" applyFont="1" applyFill="1" applyBorder="1" applyAlignment="1">
      <alignment horizontal="left" vertical="center" wrapText="1"/>
    </xf>
    <xf numFmtId="0" fontId="11" fillId="13" borderId="16" xfId="0" applyFont="1" applyFill="1" applyBorder="1" applyAlignment="1">
      <alignment vertical="center" wrapText="1"/>
    </xf>
    <xf numFmtId="0" fontId="0" fillId="13" borderId="38" xfId="0" applyFill="1" applyBorder="1" applyAlignment="1" applyProtection="1">
      <alignment horizontal="right" vertical="center"/>
    </xf>
    <xf numFmtId="49" fontId="0" fillId="0" borderId="0" xfId="0" applyNumberFormat="1" applyAlignment="1" applyProtection="1">
      <alignment horizontal="center" vertical="center"/>
      <protection locked="0"/>
    </xf>
    <xf numFmtId="0" fontId="0" fillId="0" borderId="0" xfId="0" applyFill="1" applyProtection="1">
      <protection locked="0"/>
    </xf>
    <xf numFmtId="0" fontId="11" fillId="0" borderId="0" xfId="0" applyFont="1" applyFill="1" applyAlignment="1" applyProtection="1">
      <alignment horizontal="right" vertical="center"/>
      <protection locked="0"/>
    </xf>
    <xf numFmtId="9" fontId="11" fillId="0" borderId="0" xfId="0" applyNumberFormat="1" applyFont="1" applyFill="1" applyAlignment="1">
      <alignment horizontal="right" vertical="center"/>
    </xf>
    <xf numFmtId="0" fontId="11" fillId="0" borderId="0" xfId="0" applyFont="1" applyFill="1" applyAlignment="1">
      <alignment horizontal="right" vertical="center"/>
    </xf>
    <xf numFmtId="0" fontId="17" fillId="0" borderId="0" xfId="0" applyFont="1" applyProtection="1"/>
    <xf numFmtId="0" fontId="17" fillId="0" borderId="0" xfId="0" applyFont="1" applyFill="1" applyAlignment="1">
      <alignment vertical="center"/>
    </xf>
    <xf numFmtId="0" fontId="10" fillId="11" borderId="33" xfId="0" applyFont="1" applyFill="1" applyBorder="1" applyAlignment="1">
      <alignment vertical="center" wrapText="1"/>
    </xf>
    <xf numFmtId="0" fontId="0" fillId="0" borderId="39" xfId="0" applyBorder="1" applyProtection="1"/>
    <xf numFmtId="0" fontId="0" fillId="0" borderId="38" xfId="0" applyBorder="1" applyProtection="1"/>
    <xf numFmtId="1" fontId="11" fillId="13" borderId="19" xfId="0" applyNumberFormat="1" applyFont="1" applyFill="1" applyBorder="1" applyAlignment="1">
      <alignment horizontal="right" vertical="center"/>
    </xf>
    <xf numFmtId="164" fontId="11" fillId="13" borderId="38" xfId="0" applyNumberFormat="1" applyFont="1" applyFill="1" applyBorder="1" applyAlignment="1">
      <alignment horizontal="right" vertical="center"/>
    </xf>
    <xf numFmtId="0" fontId="11" fillId="0" borderId="1" xfId="0" applyFont="1" applyFill="1" applyBorder="1" applyAlignment="1" applyProtection="1">
      <alignment horizontal="right" vertical="center"/>
      <protection locked="0"/>
    </xf>
    <xf numFmtId="164" fontId="11" fillId="13" borderId="39" xfId="0" applyNumberFormat="1" applyFont="1" applyFill="1" applyBorder="1"/>
    <xf numFmtId="164" fontId="11" fillId="13" borderId="38" xfId="0" applyNumberFormat="1" applyFont="1" applyFill="1" applyBorder="1"/>
    <xf numFmtId="0" fontId="0" fillId="0" borderId="0" xfId="0" applyFill="1" applyBorder="1" applyAlignment="1">
      <alignment horizontal="center" vertical="center"/>
    </xf>
    <xf numFmtId="49" fontId="0" fillId="0" borderId="0" xfId="0" applyNumberFormat="1" applyAlignment="1" applyProtection="1">
      <alignment horizontal="center" vertical="center"/>
    </xf>
    <xf numFmtId="49" fontId="0" fillId="0" borderId="0" xfId="0" applyNumberFormat="1" applyFill="1" applyAlignment="1" applyProtection="1">
      <alignment horizontal="center" vertical="center"/>
      <protection locked="0"/>
    </xf>
    <xf numFmtId="164" fontId="11" fillId="13" borderId="14" xfId="0" applyNumberFormat="1" applyFont="1" applyFill="1" applyBorder="1" applyAlignment="1">
      <alignment horizontal="right"/>
    </xf>
    <xf numFmtId="164" fontId="11" fillId="13" borderId="1" xfId="0" applyNumberFormat="1" applyFont="1" applyFill="1" applyBorder="1" applyAlignment="1">
      <alignment horizontal="right"/>
    </xf>
    <xf numFmtId="164" fontId="11" fillId="13" borderId="19" xfId="0" applyNumberFormat="1" applyFont="1" applyFill="1" applyBorder="1" applyAlignment="1">
      <alignment horizontal="right"/>
    </xf>
    <xf numFmtId="2" fontId="11" fillId="13" borderId="14" xfId="0" applyNumberFormat="1" applyFont="1" applyFill="1" applyBorder="1" applyAlignment="1">
      <alignment horizontal="right"/>
    </xf>
    <xf numFmtId="2" fontId="11" fillId="13" borderId="1" xfId="0" applyNumberFormat="1" applyFont="1" applyFill="1" applyBorder="1" applyAlignment="1">
      <alignment horizontal="right"/>
    </xf>
    <xf numFmtId="2" fontId="11" fillId="13" borderId="19" xfId="0" applyNumberFormat="1" applyFont="1" applyFill="1" applyBorder="1" applyAlignment="1">
      <alignment horizontal="right"/>
    </xf>
    <xf numFmtId="0" fontId="0" fillId="22" borderId="0" xfId="0" applyFill="1"/>
    <xf numFmtId="49" fontId="0" fillId="22" borderId="0" xfId="0" applyNumberFormat="1" applyFill="1" applyAlignment="1">
      <alignment horizontal="center"/>
    </xf>
    <xf numFmtId="0" fontId="0" fillId="22" borderId="0" xfId="0" applyFill="1" applyAlignment="1">
      <alignment horizontal="center"/>
    </xf>
    <xf numFmtId="0" fontId="0" fillId="22" borderId="0" xfId="0" applyFill="1" applyAlignment="1"/>
    <xf numFmtId="0" fontId="6" fillId="22" borderId="0" xfId="1" applyFill="1"/>
    <xf numFmtId="0" fontId="0" fillId="13" borderId="0" xfId="0" applyFill="1"/>
    <xf numFmtId="49" fontId="0" fillId="13" borderId="0" xfId="0" applyNumberFormat="1" applyFill="1" applyAlignment="1">
      <alignment horizontal="center"/>
    </xf>
    <xf numFmtId="0" fontId="0" fillId="13" borderId="0" xfId="0" applyFill="1" applyAlignment="1">
      <alignment horizontal="center"/>
    </xf>
    <xf numFmtId="0" fontId="5" fillId="13" borderId="0" xfId="0" applyFont="1" applyFill="1"/>
    <xf numFmtId="49" fontId="0" fillId="22" borderId="0" xfId="0" applyNumberFormat="1" applyFill="1" applyAlignment="1">
      <alignment horizontal="center" vertical="center"/>
    </xf>
    <xf numFmtId="0" fontId="0" fillId="22" borderId="0" xfId="0" applyFill="1" applyAlignment="1">
      <alignment horizontal="center" vertical="center"/>
    </xf>
    <xf numFmtId="0" fontId="10" fillId="8" borderId="14" xfId="0" applyFont="1" applyFill="1" applyBorder="1" applyAlignment="1">
      <alignment horizontal="left" vertical="center"/>
    </xf>
    <xf numFmtId="0" fontId="10" fillId="16" borderId="14" xfId="0" applyFont="1" applyFill="1" applyBorder="1" applyAlignment="1">
      <alignment horizontal="left" vertical="center" wrapText="1"/>
    </xf>
    <xf numFmtId="0" fontId="10" fillId="21" borderId="37" xfId="0" applyFont="1" applyFill="1" applyBorder="1" applyAlignment="1">
      <alignment horizontal="left" vertical="center" wrapText="1"/>
    </xf>
    <xf numFmtId="0" fontId="22" fillId="22" borderId="0" xfId="1" applyFont="1" applyFill="1"/>
    <xf numFmtId="49" fontId="0" fillId="0" borderId="0" xfId="0" applyNumberFormat="1" applyFont="1" applyAlignment="1">
      <alignment horizontal="center" vertical="center"/>
    </xf>
    <xf numFmtId="49" fontId="0" fillId="0" borderId="0" xfId="0" applyNumberFormat="1" applyAlignment="1">
      <alignment horizontal="left"/>
    </xf>
    <xf numFmtId="0" fontId="0" fillId="18" borderId="0" xfId="0" applyFill="1" applyAlignment="1">
      <alignment horizontal="left"/>
    </xf>
    <xf numFmtId="0" fontId="0" fillId="9" borderId="0" xfId="0" applyFill="1" applyAlignment="1">
      <alignment horizontal="left"/>
    </xf>
    <xf numFmtId="0" fontId="0" fillId="24" borderId="0" xfId="0" applyFill="1" applyAlignment="1">
      <alignment horizontal="center"/>
    </xf>
    <xf numFmtId="0" fontId="0" fillId="23" borderId="0" xfId="0" applyFill="1" applyAlignment="1">
      <alignment horizontal="left"/>
    </xf>
    <xf numFmtId="0" fontId="0" fillId="25" borderId="0" xfId="0" applyFill="1" applyAlignment="1">
      <alignment horizontal="left"/>
    </xf>
    <xf numFmtId="0" fontId="0" fillId="6" borderId="0" xfId="0" applyFill="1" applyAlignment="1">
      <alignment horizontal="left"/>
    </xf>
    <xf numFmtId="0" fontId="10" fillId="12" borderId="14" xfId="0" applyFont="1" applyFill="1" applyBorder="1" applyAlignment="1" applyProtection="1">
      <alignment horizontal="left" vertical="center" wrapText="1"/>
    </xf>
    <xf numFmtId="0" fontId="11" fillId="0" borderId="19" xfId="0" applyFont="1" applyFill="1" applyBorder="1" applyAlignment="1" applyProtection="1">
      <alignment horizontal="right" vertical="center" wrapText="1"/>
      <protection locked="0"/>
    </xf>
    <xf numFmtId="0" fontId="11" fillId="0" borderId="19" xfId="0" applyFont="1" applyFill="1" applyBorder="1" applyAlignment="1" applyProtection="1">
      <alignment horizontal="right" vertical="center"/>
      <protection locked="0"/>
    </xf>
    <xf numFmtId="0" fontId="8" fillId="9" borderId="25" xfId="0" applyFont="1" applyFill="1" applyBorder="1" applyAlignment="1" applyProtection="1">
      <alignment horizontal="center" vertical="center"/>
    </xf>
    <xf numFmtId="0" fontId="8" fillId="9" borderId="26" xfId="0" applyFont="1" applyFill="1" applyBorder="1" applyAlignment="1" applyProtection="1">
      <alignment horizontal="center" vertical="center"/>
    </xf>
    <xf numFmtId="0" fontId="8" fillId="9" borderId="27" xfId="0" applyFont="1" applyFill="1" applyBorder="1" applyAlignment="1" applyProtection="1">
      <alignment horizontal="center" vertical="center"/>
    </xf>
    <xf numFmtId="0" fontId="10" fillId="13" borderId="31" xfId="0" applyFont="1" applyFill="1" applyBorder="1" applyAlignment="1" applyProtection="1">
      <alignment horizontal="center" vertical="center" wrapText="1"/>
    </xf>
    <xf numFmtId="0" fontId="10" fillId="13" borderId="32" xfId="0" applyFont="1" applyFill="1" applyBorder="1" applyAlignment="1" applyProtection="1">
      <alignment horizontal="center" vertical="center" wrapText="1"/>
    </xf>
    <xf numFmtId="0" fontId="10" fillId="13" borderId="5" xfId="0" applyFont="1" applyFill="1" applyBorder="1" applyAlignment="1" applyProtection="1">
      <alignment horizontal="center" vertical="center" wrapText="1"/>
    </xf>
    <xf numFmtId="0" fontId="10" fillId="13" borderId="6" xfId="0" applyFont="1" applyFill="1" applyBorder="1" applyAlignment="1" applyProtection="1">
      <alignment horizontal="center" vertical="center" wrapText="1"/>
    </xf>
    <xf numFmtId="0" fontId="10" fillId="13" borderId="29" xfId="0" applyFont="1" applyFill="1" applyBorder="1" applyAlignment="1" applyProtection="1">
      <alignment horizontal="center" vertical="center" wrapText="1"/>
    </xf>
    <xf numFmtId="0" fontId="10" fillId="13" borderId="30" xfId="0" applyFont="1" applyFill="1" applyBorder="1" applyAlignment="1" applyProtection="1">
      <alignment horizontal="center" vertical="center" wrapText="1"/>
    </xf>
    <xf numFmtId="0" fontId="11" fillId="0" borderId="1" xfId="0" applyFont="1" applyFill="1" applyBorder="1" applyAlignment="1" applyProtection="1">
      <alignment vertical="center"/>
      <protection locked="0"/>
    </xf>
    <xf numFmtId="0" fontId="10" fillId="8" borderId="33" xfId="0" applyFont="1" applyFill="1" applyBorder="1" applyAlignment="1">
      <alignment horizontal="left" vertical="center" wrapText="1"/>
    </xf>
    <xf numFmtId="0" fontId="10" fillId="8" borderId="34" xfId="0" applyFont="1" applyFill="1" applyBorder="1" applyAlignment="1">
      <alignment horizontal="left" vertical="center" wrapText="1"/>
    </xf>
    <xf numFmtId="0" fontId="11" fillId="0" borderId="35" xfId="0" applyFont="1" applyBorder="1" applyAlignment="1" applyProtection="1">
      <alignment horizontal="right" vertical="center"/>
      <protection locked="0"/>
    </xf>
    <xf numFmtId="0" fontId="11" fillId="0" borderId="36" xfId="0" applyFont="1" applyBorder="1" applyAlignment="1" applyProtection="1">
      <alignment horizontal="right" vertical="center"/>
      <protection locked="0"/>
    </xf>
    <xf numFmtId="0" fontId="11" fillId="13" borderId="35" xfId="0" applyFont="1" applyFill="1" applyBorder="1" applyAlignment="1">
      <alignment horizontal="left" vertical="center" wrapText="1"/>
    </xf>
    <xf numFmtId="0" fontId="11" fillId="13" borderId="36" xfId="0" applyFont="1" applyFill="1" applyBorder="1" applyAlignment="1">
      <alignment horizontal="left" vertical="center" wrapText="1"/>
    </xf>
    <xf numFmtId="0" fontId="10" fillId="8" borderId="1" xfId="0" applyFont="1" applyFill="1" applyBorder="1" applyAlignment="1">
      <alignment horizontal="center" vertical="center" wrapText="1"/>
    </xf>
    <xf numFmtId="0" fontId="11" fillId="13" borderId="19" xfId="0" applyFont="1" applyFill="1" applyBorder="1" applyAlignment="1">
      <alignment horizontal="left" wrapText="1"/>
    </xf>
    <xf numFmtId="0" fontId="11" fillId="13" borderId="16" xfId="0" applyFont="1" applyFill="1" applyBorder="1" applyAlignment="1">
      <alignment horizontal="left" vertical="center" wrapText="1"/>
    </xf>
    <xf numFmtId="0" fontId="11" fillId="13" borderId="18" xfId="0" applyFont="1" applyFill="1" applyBorder="1" applyAlignment="1">
      <alignment horizontal="left" vertical="center" wrapText="1"/>
    </xf>
    <xf numFmtId="0" fontId="10" fillId="8" borderId="1" xfId="0" applyFont="1" applyFill="1" applyBorder="1" applyAlignment="1">
      <alignment horizontal="left" vertical="center" wrapText="1"/>
    </xf>
    <xf numFmtId="0" fontId="11" fillId="0" borderId="19" xfId="0" applyFont="1" applyBorder="1" applyAlignment="1">
      <alignment horizontal="right" vertical="center"/>
    </xf>
    <xf numFmtId="0" fontId="10" fillId="8" borderId="14" xfId="0" applyFont="1" applyFill="1" applyBorder="1" applyAlignment="1">
      <alignment horizontal="left" vertical="center" wrapText="1"/>
    </xf>
    <xf numFmtId="0" fontId="11" fillId="0" borderId="1" xfId="0" applyFont="1" applyBorder="1" applyAlignment="1">
      <alignment horizontal="right" vertical="center"/>
    </xf>
    <xf numFmtId="0" fontId="11" fillId="13" borderId="1" xfId="0" applyFont="1" applyFill="1" applyBorder="1" applyAlignment="1">
      <alignment vertical="center"/>
    </xf>
    <xf numFmtId="0" fontId="11" fillId="13" borderId="19" xfId="0" applyFont="1" applyFill="1" applyBorder="1" applyAlignment="1">
      <alignment horizontal="right" vertical="center"/>
    </xf>
    <xf numFmtId="0" fontId="11" fillId="13" borderId="1" xfId="0" applyFont="1" applyFill="1" applyBorder="1" applyAlignment="1">
      <alignment horizontal="left" wrapText="1"/>
    </xf>
    <xf numFmtId="0" fontId="11" fillId="13" borderId="35" xfId="0" applyFont="1" applyFill="1" applyBorder="1" applyAlignment="1">
      <alignment horizontal="center" vertical="center"/>
    </xf>
    <xf numFmtId="0" fontId="11" fillId="13" borderId="36" xfId="0" applyFont="1" applyFill="1" applyBorder="1" applyAlignment="1">
      <alignment horizontal="center" vertical="center"/>
    </xf>
    <xf numFmtId="0" fontId="11" fillId="20" borderId="35" xfId="0" applyFont="1" applyFill="1" applyBorder="1" applyAlignment="1">
      <alignment horizontal="center" vertical="center"/>
    </xf>
    <xf numFmtId="0" fontId="11" fillId="20" borderId="36" xfId="0" applyFont="1" applyFill="1" applyBorder="1" applyAlignment="1">
      <alignment horizontal="center" vertical="center"/>
    </xf>
    <xf numFmtId="0" fontId="11" fillId="13" borderId="19" xfId="0" applyFont="1" applyFill="1" applyBorder="1" applyAlignment="1">
      <alignment horizontal="left" vertical="center" wrapText="1"/>
    </xf>
    <xf numFmtId="0" fontId="11" fillId="0" borderId="19" xfId="0" applyFont="1" applyBorder="1" applyAlignment="1" applyProtection="1">
      <alignment horizontal="right" vertical="center"/>
      <protection locked="0"/>
    </xf>
    <xf numFmtId="0" fontId="11" fillId="13" borderId="2" xfId="0" applyFont="1" applyFill="1" applyBorder="1" applyAlignment="1">
      <alignment horizontal="right" vertical="center"/>
    </xf>
    <xf numFmtId="0" fontId="11" fillId="13" borderId="3" xfId="0" applyFont="1" applyFill="1" applyBorder="1" applyAlignment="1">
      <alignment horizontal="right" vertical="center"/>
    </xf>
    <xf numFmtId="0" fontId="11" fillId="13" borderId="24" xfId="0" applyFont="1" applyFill="1" applyBorder="1" applyAlignment="1">
      <alignment horizontal="right" vertical="center"/>
    </xf>
    <xf numFmtId="0" fontId="11" fillId="13" borderId="1" xfId="0" applyFont="1" applyFill="1" applyBorder="1" applyAlignment="1">
      <alignment horizontal="right" vertical="center"/>
    </xf>
    <xf numFmtId="0" fontId="11" fillId="0" borderId="1" xfId="0" applyFont="1" applyBorder="1" applyAlignment="1" applyProtection="1">
      <alignment horizontal="right" vertical="center"/>
      <protection locked="0"/>
    </xf>
    <xf numFmtId="0" fontId="10" fillId="8" borderId="1" xfId="0" applyFont="1" applyFill="1" applyBorder="1" applyAlignment="1">
      <alignment vertical="center" wrapText="1"/>
    </xf>
    <xf numFmtId="0" fontId="11" fillId="13" borderId="1" xfId="0" applyFont="1" applyFill="1" applyBorder="1" applyAlignment="1">
      <alignment horizontal="left" vertical="center" wrapText="1"/>
    </xf>
    <xf numFmtId="0" fontId="11" fillId="13" borderId="1" xfId="0" applyFont="1" applyFill="1" applyBorder="1" applyAlignment="1">
      <alignment horizontal="left" vertical="center"/>
    </xf>
    <xf numFmtId="0" fontId="8" fillId="16" borderId="25" xfId="0" applyFont="1" applyFill="1" applyBorder="1" applyAlignment="1">
      <alignment horizontal="center"/>
    </xf>
    <xf numFmtId="0" fontId="8" fillId="16" borderId="26" xfId="0" applyFont="1" applyFill="1" applyBorder="1" applyAlignment="1">
      <alignment horizontal="center"/>
    </xf>
    <xf numFmtId="0" fontId="8" fillId="16" borderId="27" xfId="0" applyFont="1" applyFill="1" applyBorder="1" applyAlignment="1">
      <alignment horizontal="center"/>
    </xf>
    <xf numFmtId="0" fontId="11" fillId="13" borderId="10" xfId="0" applyFont="1" applyFill="1" applyBorder="1" applyAlignment="1">
      <alignment horizontal="left" vertical="center" wrapText="1"/>
    </xf>
    <xf numFmtId="0" fontId="11" fillId="13" borderId="11" xfId="0" applyFont="1" applyFill="1" applyBorder="1" applyAlignment="1">
      <alignment horizontal="left" vertical="center" wrapText="1"/>
    </xf>
    <xf numFmtId="0" fontId="11" fillId="13" borderId="12" xfId="0" applyFont="1" applyFill="1" applyBorder="1" applyAlignment="1">
      <alignment horizontal="left" vertical="center" wrapText="1"/>
    </xf>
    <xf numFmtId="0" fontId="10" fillId="8" borderId="9" xfId="0" applyFont="1" applyFill="1" applyBorder="1" applyAlignment="1">
      <alignment horizontal="left" vertical="center" wrapText="1"/>
    </xf>
    <xf numFmtId="0" fontId="11" fillId="13" borderId="23" xfId="0" applyFont="1" applyFill="1" applyBorder="1" applyAlignment="1">
      <alignment horizontal="right" vertical="center"/>
    </xf>
    <xf numFmtId="2" fontId="11" fillId="13" borderId="23" xfId="0" applyNumberFormat="1" applyFont="1" applyFill="1" applyBorder="1" applyAlignment="1">
      <alignment horizontal="right" vertical="center"/>
    </xf>
    <xf numFmtId="2" fontId="11" fillId="13" borderId="3" xfId="0" applyNumberFormat="1" applyFont="1" applyFill="1" applyBorder="1" applyAlignment="1">
      <alignment horizontal="right" vertical="center"/>
    </xf>
    <xf numFmtId="2" fontId="11" fillId="13" borderId="24" xfId="0" applyNumberFormat="1" applyFont="1" applyFill="1" applyBorder="1" applyAlignment="1">
      <alignment horizontal="right" vertical="center"/>
    </xf>
    <xf numFmtId="0" fontId="11" fillId="0" borderId="14" xfId="0" applyFont="1" applyFill="1" applyBorder="1" applyAlignment="1" applyProtection="1">
      <alignment horizontal="right" vertical="center"/>
      <protection locked="0"/>
    </xf>
    <xf numFmtId="0" fontId="11" fillId="0" borderId="1" xfId="0" applyFont="1" applyFill="1" applyBorder="1" applyAlignment="1" applyProtection="1">
      <alignment horizontal="right" vertical="center"/>
      <protection locked="0"/>
    </xf>
    <xf numFmtId="0" fontId="10" fillId="8" borderId="14" xfId="0" applyFont="1" applyFill="1" applyBorder="1" applyAlignment="1">
      <alignment horizontal="center" vertical="center" wrapText="1"/>
    </xf>
    <xf numFmtId="0" fontId="19" fillId="8" borderId="14" xfId="0" applyFont="1" applyFill="1" applyBorder="1" applyAlignment="1">
      <alignment horizontal="left" vertical="center" wrapText="1"/>
    </xf>
    <xf numFmtId="0" fontId="11" fillId="0" borderId="14" xfId="0" applyFont="1" applyFill="1" applyBorder="1" applyAlignment="1">
      <alignment horizontal="right" vertical="center"/>
    </xf>
    <xf numFmtId="0" fontId="11" fillId="0" borderId="1" xfId="0" applyFont="1" applyFill="1" applyBorder="1" applyAlignment="1">
      <alignment horizontal="right" vertical="center"/>
    </xf>
    <xf numFmtId="0" fontId="11" fillId="0" borderId="19" xfId="0" applyFont="1" applyFill="1" applyBorder="1" applyAlignment="1">
      <alignment horizontal="right" vertical="center"/>
    </xf>
    <xf numFmtId="49" fontId="0" fillId="0" borderId="8" xfId="0" applyNumberFormat="1" applyBorder="1" applyAlignment="1">
      <alignment horizontal="center" vertical="center"/>
    </xf>
    <xf numFmtId="0" fontId="10" fillId="21" borderId="37" xfId="0" applyFont="1" applyFill="1" applyBorder="1" applyAlignment="1">
      <alignment horizontal="left" vertical="center" wrapText="1"/>
    </xf>
    <xf numFmtId="0" fontId="10" fillId="21" borderId="39" xfId="0" applyFont="1" applyFill="1" applyBorder="1" applyAlignment="1">
      <alignment horizontal="left" vertical="center" wrapText="1"/>
    </xf>
    <xf numFmtId="0" fontId="10" fillId="14" borderId="23" xfId="0" applyFont="1" applyFill="1" applyBorder="1" applyAlignment="1">
      <alignment horizontal="left" vertical="center" wrapText="1"/>
    </xf>
    <xf numFmtId="0" fontId="10" fillId="14" borderId="23" xfId="0" applyFont="1" applyFill="1" applyBorder="1" applyAlignment="1">
      <alignment horizontal="left" vertical="center"/>
    </xf>
    <xf numFmtId="0" fontId="11" fillId="14" borderId="28" xfId="0" applyFont="1" applyFill="1" applyBorder="1" applyAlignment="1">
      <alignment horizontal="left" vertical="center" wrapText="1"/>
    </xf>
    <xf numFmtId="0" fontId="10" fillId="14" borderId="15" xfId="0" applyFont="1" applyFill="1" applyBorder="1" applyAlignment="1">
      <alignment vertical="center" wrapText="1"/>
    </xf>
    <xf numFmtId="0" fontId="10" fillId="14" borderId="17" xfId="0" applyFont="1" applyFill="1" applyBorder="1" applyAlignment="1">
      <alignment vertical="center" wrapText="1"/>
    </xf>
    <xf numFmtId="0" fontId="10" fillId="14" borderId="13" xfId="0" applyFont="1" applyFill="1" applyBorder="1" applyAlignment="1">
      <alignment vertical="center" wrapText="1"/>
    </xf>
    <xf numFmtId="0" fontId="10" fillId="14" borderId="16" xfId="0" applyFont="1" applyFill="1" applyBorder="1" applyAlignment="1">
      <alignment vertical="center" wrapText="1"/>
    </xf>
    <xf numFmtId="1" fontId="11" fillId="13" borderId="1" xfId="0" applyNumberFormat="1" applyFont="1" applyFill="1" applyBorder="1" applyAlignment="1">
      <alignment horizontal="right" vertical="center"/>
    </xf>
    <xf numFmtId="1" fontId="11" fillId="13" borderId="19" xfId="0" applyNumberFormat="1" applyFont="1" applyFill="1" applyBorder="1" applyAlignment="1">
      <alignment horizontal="right" vertical="center"/>
    </xf>
    <xf numFmtId="0" fontId="10" fillId="14" borderId="14" xfId="0" applyFont="1" applyFill="1" applyBorder="1" applyAlignment="1">
      <alignment horizontal="left" vertical="center" wrapText="1"/>
    </xf>
    <xf numFmtId="0" fontId="10" fillId="14" borderId="1" xfId="0" applyFont="1" applyFill="1" applyBorder="1" applyAlignment="1">
      <alignment horizontal="left" vertical="center" wrapText="1"/>
    </xf>
    <xf numFmtId="0" fontId="10" fillId="15" borderId="14" xfId="0" applyFont="1" applyFill="1" applyBorder="1" applyAlignment="1">
      <alignment vertical="center" wrapText="1"/>
    </xf>
    <xf numFmtId="0" fontId="10" fillId="15" borderId="1" xfId="0" applyFont="1" applyFill="1" applyBorder="1" applyAlignment="1">
      <alignment vertical="center" wrapText="1"/>
    </xf>
    <xf numFmtId="0" fontId="10" fillId="14" borderId="14" xfId="0" applyFont="1" applyFill="1" applyBorder="1" applyAlignment="1">
      <alignment vertical="center" wrapText="1"/>
    </xf>
    <xf numFmtId="0" fontId="10" fillId="14" borderId="1" xfId="0" applyFont="1" applyFill="1" applyBorder="1" applyAlignment="1">
      <alignment vertical="center" wrapText="1"/>
    </xf>
    <xf numFmtId="0" fontId="11" fillId="0" borderId="19" xfId="0" applyFont="1" applyBorder="1" applyAlignment="1" applyProtection="1">
      <alignment horizontal="center" vertical="center"/>
      <protection locked="0"/>
    </xf>
    <xf numFmtId="10" fontId="11" fillId="13" borderId="19" xfId="0" applyNumberFormat="1" applyFont="1" applyFill="1" applyBorder="1" applyAlignment="1">
      <alignment horizontal="right" vertical="center"/>
    </xf>
    <xf numFmtId="10" fontId="11" fillId="0" borderId="19" xfId="0" applyNumberFormat="1" applyFont="1" applyFill="1" applyBorder="1" applyAlignment="1" applyProtection="1">
      <alignment horizontal="center" vertical="center"/>
      <protection locked="0"/>
    </xf>
    <xf numFmtId="0" fontId="10" fillId="14" borderId="14" xfId="0" applyFont="1" applyFill="1" applyBorder="1" applyAlignment="1" applyProtection="1">
      <alignment horizontal="center" vertical="center" wrapText="1"/>
    </xf>
    <xf numFmtId="0" fontId="10" fillId="14" borderId="14" xfId="0" applyFont="1" applyFill="1" applyBorder="1" applyAlignment="1" applyProtection="1">
      <alignment horizontal="left" vertical="center" wrapText="1"/>
    </xf>
    <xf numFmtId="0" fontId="11" fillId="13" borderId="16" xfId="0" applyFont="1" applyFill="1" applyBorder="1" applyAlignment="1">
      <alignment horizontal="left" vertical="center"/>
    </xf>
    <xf numFmtId="0" fontId="11" fillId="13" borderId="18" xfId="0" applyFont="1" applyFill="1" applyBorder="1" applyAlignment="1">
      <alignment horizontal="left" vertical="center"/>
    </xf>
    <xf numFmtId="0" fontId="10" fillId="14" borderId="1" xfId="0" applyFont="1" applyFill="1" applyBorder="1" applyAlignment="1" applyProtection="1">
      <alignment vertical="center" wrapText="1"/>
    </xf>
    <xf numFmtId="9" fontId="11" fillId="13" borderId="19" xfId="0" applyNumberFormat="1" applyFont="1" applyFill="1" applyBorder="1" applyAlignment="1">
      <alignment horizontal="right" vertical="center"/>
    </xf>
    <xf numFmtId="9" fontId="11" fillId="13" borderId="1" xfId="0" applyNumberFormat="1" applyFont="1" applyFill="1" applyBorder="1" applyAlignment="1">
      <alignment horizontal="center" vertical="center"/>
    </xf>
    <xf numFmtId="0" fontId="11" fillId="13" borderId="1" xfId="0" applyFont="1" applyFill="1" applyBorder="1" applyAlignment="1">
      <alignment horizontal="center" vertical="center"/>
    </xf>
    <xf numFmtId="0" fontId="11" fillId="13" borderId="19" xfId="0" applyFont="1" applyFill="1" applyBorder="1" applyAlignment="1">
      <alignment horizontal="center" vertical="center"/>
    </xf>
    <xf numFmtId="0" fontId="8" fillId="15" borderId="25" xfId="0" applyFont="1" applyFill="1" applyBorder="1" applyAlignment="1">
      <alignment horizontal="center"/>
    </xf>
    <xf numFmtId="0" fontId="8" fillId="15" borderId="26" xfId="0" applyFont="1" applyFill="1" applyBorder="1" applyAlignment="1">
      <alignment horizontal="center"/>
    </xf>
    <xf numFmtId="0" fontId="8" fillId="15" borderId="27" xfId="0" applyFont="1" applyFill="1" applyBorder="1" applyAlignment="1">
      <alignment horizontal="center"/>
    </xf>
    <xf numFmtId="0" fontId="10" fillId="14" borderId="14" xfId="0" applyFont="1" applyFill="1" applyBorder="1" applyAlignment="1" applyProtection="1">
      <alignment vertical="center" wrapText="1"/>
    </xf>
    <xf numFmtId="0" fontId="11" fillId="13" borderId="40" xfId="0" applyFont="1" applyFill="1" applyBorder="1" applyAlignment="1">
      <alignment horizontal="left" vertical="center" wrapText="1"/>
    </xf>
    <xf numFmtId="0" fontId="10" fillId="11" borderId="33" xfId="0" applyFont="1" applyFill="1" applyBorder="1" applyAlignment="1">
      <alignment horizontal="left" vertical="center" wrapText="1"/>
    </xf>
    <xf numFmtId="0" fontId="10" fillId="11" borderId="34" xfId="0" applyFont="1" applyFill="1" applyBorder="1" applyAlignment="1">
      <alignment horizontal="left" vertical="center" wrapText="1"/>
    </xf>
    <xf numFmtId="9" fontId="11" fillId="13" borderId="4" xfId="0" applyNumberFormat="1" applyFont="1" applyFill="1" applyBorder="1" applyAlignment="1">
      <alignment horizontal="center" vertical="center"/>
    </xf>
    <xf numFmtId="9" fontId="11" fillId="13" borderId="7" xfId="0" applyNumberFormat="1" applyFont="1" applyFill="1" applyBorder="1" applyAlignment="1">
      <alignment horizontal="center" vertical="center"/>
    </xf>
    <xf numFmtId="9" fontId="11" fillId="13" borderId="35" xfId="0" applyNumberFormat="1" applyFont="1" applyFill="1" applyBorder="1" applyAlignment="1">
      <alignment horizontal="center" vertical="center"/>
    </xf>
    <xf numFmtId="9" fontId="11" fillId="13" borderId="36" xfId="0" applyNumberFormat="1" applyFont="1" applyFill="1" applyBorder="1" applyAlignment="1">
      <alignment horizontal="center" vertical="center"/>
    </xf>
    <xf numFmtId="0" fontId="8" fillId="10" borderId="25" xfId="0" applyFont="1" applyFill="1" applyBorder="1" applyAlignment="1" applyProtection="1">
      <alignment horizontal="center" vertical="center"/>
    </xf>
    <xf numFmtId="0" fontId="8" fillId="10" borderId="26" xfId="0" applyFont="1" applyFill="1" applyBorder="1" applyAlignment="1" applyProtection="1">
      <alignment horizontal="center" vertical="center"/>
    </xf>
    <xf numFmtId="0" fontId="8" fillId="10" borderId="27" xfId="0" applyFont="1" applyFill="1" applyBorder="1" applyAlignment="1" applyProtection="1">
      <alignment horizontal="center" vertical="center"/>
    </xf>
    <xf numFmtId="9" fontId="11" fillId="13" borderId="19" xfId="0" applyNumberFormat="1" applyFont="1" applyFill="1" applyBorder="1" applyAlignment="1">
      <alignment horizontal="center" vertical="center"/>
    </xf>
    <xf numFmtId="0" fontId="10" fillId="19" borderId="14" xfId="0" applyFont="1" applyFill="1" applyBorder="1" applyAlignment="1">
      <alignment horizontal="left" vertical="center" wrapText="1"/>
    </xf>
    <xf numFmtId="0" fontId="11" fillId="0" borderId="1" xfId="0" applyFont="1" applyBorder="1" applyAlignment="1">
      <alignment horizontal="center" vertical="center"/>
    </xf>
    <xf numFmtId="0" fontId="11" fillId="0" borderId="19" xfId="0" applyFont="1" applyBorder="1" applyAlignment="1">
      <alignment horizontal="center" vertical="center"/>
    </xf>
    <xf numFmtId="0" fontId="8" fillId="6" borderId="25" xfId="0" applyFont="1" applyFill="1" applyBorder="1" applyAlignment="1">
      <alignment horizontal="center"/>
    </xf>
    <xf numFmtId="0" fontId="8" fillId="6" borderId="26" xfId="0" applyFont="1" applyFill="1" applyBorder="1" applyAlignment="1">
      <alignment horizontal="center"/>
    </xf>
    <xf numFmtId="0" fontId="8" fillId="6" borderId="27" xfId="0" applyFont="1" applyFill="1" applyBorder="1" applyAlignment="1">
      <alignment horizontal="center"/>
    </xf>
    <xf numFmtId="0" fontId="11" fillId="13" borderId="28" xfId="0" applyFont="1" applyFill="1" applyBorder="1" applyAlignment="1">
      <alignment horizontal="right" vertical="center"/>
    </xf>
    <xf numFmtId="0" fontId="0" fillId="0" borderId="8" xfId="0" applyBorder="1" applyAlignment="1">
      <alignment horizontal="center" vertical="center"/>
    </xf>
    <xf numFmtId="0" fontId="10" fillId="19" borderId="14" xfId="0" applyFont="1" applyFill="1" applyBorder="1" applyAlignment="1" applyProtection="1">
      <alignment horizontal="left" vertical="center" wrapText="1"/>
    </xf>
    <xf numFmtId="0" fontId="11" fillId="13" borderId="13" xfId="0" applyFont="1" applyFill="1" applyBorder="1" applyAlignment="1">
      <alignment horizontal="left" vertical="center" wrapText="1"/>
    </xf>
    <xf numFmtId="0" fontId="8" fillId="18" borderId="25" xfId="0" applyFont="1" applyFill="1" applyBorder="1" applyAlignment="1">
      <alignment horizontal="center" vertical="center"/>
    </xf>
    <xf numFmtId="0" fontId="8" fillId="18" borderId="26" xfId="0" applyFont="1" applyFill="1" applyBorder="1" applyAlignment="1">
      <alignment horizontal="center" vertical="center"/>
    </xf>
    <xf numFmtId="0" fontId="8" fillId="18" borderId="27" xfId="0" applyFont="1" applyFill="1" applyBorder="1" applyAlignment="1">
      <alignment horizontal="center" vertical="center"/>
    </xf>
    <xf numFmtId="0" fontId="0" fillId="0" borderId="1" xfId="0" applyFont="1" applyBorder="1" applyAlignment="1">
      <alignment horizontal="left" wrapText="1"/>
    </xf>
    <xf numFmtId="0" fontId="0" fillId="0" borderId="0" xfId="0" applyFill="1"/>
    <xf numFmtId="0" fontId="23" fillId="22" borderId="0" xfId="0" applyFont="1" applyFill="1"/>
  </cellXfs>
  <cellStyles count="2">
    <cellStyle name="Hyperlink" xfId="1" builtinId="8"/>
    <cellStyle name="Normal" xfId="0" builtinId="0"/>
  </cellStyles>
  <dxfs count="0"/>
  <tableStyles count="0" defaultTableStyle="TableStyleMedium2" defaultPivotStyle="PivotStyleLight16"/>
  <colors>
    <mruColors>
      <color rgb="FFF6E57E"/>
      <color rgb="FF36B8CA"/>
      <color rgb="FFD8EEC0"/>
      <color rgb="FFFBF3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ei-web.lv/lv/projekti-all/starptautiskie-projekti/facilitating-multi-level-governance-for-energy-efficiency-multee" TargetMode="External"/><Relationship Id="rId1" Type="http://schemas.openxmlformats.org/officeDocument/2006/relationships/hyperlink" Target="https://www.bvkb.gov.lv/lv/strukturvieniba/energoefektivitates-kontroles-nodala"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tandby.lbl.gov/summary-table.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FDE8E-C815-4EC8-A628-3D04254A0DB1}">
  <dimension ref="A1:AR51"/>
  <sheetViews>
    <sheetView tabSelected="1" zoomScaleNormal="100" workbookViewId="0">
      <selection activeCell="A50" sqref="A50"/>
    </sheetView>
  </sheetViews>
  <sheetFormatPr defaultRowHeight="14.5" x14ac:dyDescent="0.35"/>
  <cols>
    <col min="1" max="2" width="8.7265625" customWidth="1"/>
    <col min="3" max="3" width="2.6328125" customWidth="1"/>
    <col min="5" max="5" width="23.7265625" customWidth="1"/>
    <col min="6" max="6" width="9.81640625" style="2" customWidth="1"/>
    <col min="7" max="7" width="2.90625" customWidth="1"/>
    <col min="9" max="9" width="9.81640625" customWidth="1"/>
    <col min="16" max="16" width="6.90625" customWidth="1"/>
  </cols>
  <sheetData>
    <row r="1" spans="1:44" x14ac:dyDescent="0.35">
      <c r="A1" s="267"/>
      <c r="B1" s="267"/>
      <c r="C1" s="267"/>
      <c r="D1" s="267"/>
      <c r="E1" s="267"/>
      <c r="F1" s="267"/>
      <c r="G1" s="267"/>
      <c r="H1" s="267"/>
      <c r="I1" s="267"/>
      <c r="J1" s="267"/>
      <c r="K1" s="267"/>
      <c r="L1" s="267"/>
      <c r="M1" s="267"/>
      <c r="N1" s="267"/>
      <c r="O1" s="267"/>
      <c r="P1" s="267"/>
      <c r="Q1" s="267"/>
      <c r="R1" s="267"/>
      <c r="S1" s="267"/>
      <c r="T1" s="267"/>
      <c r="U1" s="267"/>
      <c r="V1" s="262"/>
      <c r="W1" s="262"/>
      <c r="X1" s="262"/>
      <c r="Y1" s="262"/>
      <c r="Z1" s="262"/>
      <c r="AA1" s="262"/>
      <c r="AB1" s="262"/>
      <c r="AC1" s="262"/>
      <c r="AD1" s="262"/>
      <c r="AE1" s="262"/>
      <c r="AF1" s="262"/>
      <c r="AG1" s="262"/>
      <c r="AH1" s="262"/>
      <c r="AI1" s="262"/>
      <c r="AJ1" s="262"/>
      <c r="AK1" s="262"/>
      <c r="AL1" s="262"/>
      <c r="AM1" s="262"/>
      <c r="AN1" s="262"/>
      <c r="AO1" s="262"/>
      <c r="AP1" s="262"/>
      <c r="AQ1" s="262"/>
      <c r="AR1" s="262"/>
    </row>
    <row r="2" spans="1:44" x14ac:dyDescent="0.35">
      <c r="A2" s="262" t="s">
        <v>682</v>
      </c>
      <c r="B2" s="262"/>
      <c r="C2" s="262"/>
      <c r="D2" s="262"/>
      <c r="E2" s="262"/>
      <c r="F2" s="262"/>
      <c r="G2" s="262"/>
      <c r="H2" s="262"/>
      <c r="I2" s="262"/>
      <c r="J2" s="262"/>
      <c r="K2" s="262"/>
      <c r="L2" s="262"/>
      <c r="M2" s="262"/>
      <c r="N2" s="262"/>
      <c r="O2" s="262"/>
      <c r="P2" s="262"/>
      <c r="Q2" s="262"/>
      <c r="R2" s="262"/>
      <c r="S2" s="262"/>
      <c r="T2" s="262"/>
      <c r="U2" s="262"/>
      <c r="V2" s="262"/>
      <c r="W2" s="262"/>
      <c r="X2" s="262"/>
      <c r="Y2" s="262"/>
      <c r="Z2" s="262"/>
      <c r="AA2" s="262"/>
      <c r="AB2" s="262"/>
      <c r="AC2" s="262"/>
      <c r="AD2" s="262"/>
      <c r="AE2" s="262"/>
      <c r="AF2" s="262"/>
      <c r="AG2" s="262"/>
      <c r="AH2" s="262"/>
      <c r="AI2" s="262"/>
      <c r="AJ2" s="262"/>
      <c r="AK2" s="262"/>
      <c r="AL2" s="262"/>
      <c r="AM2" s="262"/>
      <c r="AN2" s="262"/>
      <c r="AO2" s="262"/>
      <c r="AP2" s="262"/>
      <c r="AQ2" s="262"/>
      <c r="AR2" s="262"/>
    </row>
    <row r="3" spans="1:44" x14ac:dyDescent="0.35">
      <c r="A3" s="267"/>
      <c r="B3" s="267"/>
      <c r="C3" s="267"/>
      <c r="D3" s="267"/>
      <c r="E3" s="267"/>
      <c r="F3" s="267"/>
      <c r="G3" s="267"/>
      <c r="H3" s="267"/>
      <c r="I3" s="267"/>
      <c r="J3" s="267"/>
      <c r="K3" s="267"/>
      <c r="L3" s="267"/>
      <c r="M3" s="267"/>
      <c r="N3" s="267"/>
      <c r="O3" s="267"/>
      <c r="P3" s="267"/>
      <c r="Q3" s="267"/>
      <c r="R3" s="267"/>
      <c r="S3" s="267"/>
      <c r="T3" s="267"/>
      <c r="U3" s="267"/>
      <c r="V3" s="262"/>
      <c r="W3" s="262"/>
      <c r="X3" s="262"/>
      <c r="Y3" s="262"/>
      <c r="Z3" s="262"/>
      <c r="AA3" s="262"/>
      <c r="AB3" s="262"/>
      <c r="AC3" s="262"/>
      <c r="AD3" s="262"/>
      <c r="AE3" s="262"/>
      <c r="AF3" s="262"/>
      <c r="AG3" s="262"/>
      <c r="AH3" s="262"/>
      <c r="AI3" s="262"/>
      <c r="AJ3" s="262"/>
      <c r="AK3" s="262"/>
      <c r="AL3" s="262"/>
      <c r="AM3" s="262"/>
      <c r="AN3" s="262"/>
      <c r="AO3" s="262"/>
      <c r="AP3" s="262"/>
      <c r="AQ3" s="262"/>
      <c r="AR3" s="262"/>
    </row>
    <row r="4" spans="1:44" x14ac:dyDescent="0.35">
      <c r="A4" s="262" t="s">
        <v>685</v>
      </c>
      <c r="B4" s="262"/>
      <c r="C4" s="262"/>
      <c r="D4" s="262"/>
      <c r="E4" s="262"/>
      <c r="F4" s="262"/>
      <c r="G4" s="263" t="s">
        <v>412</v>
      </c>
      <c r="H4" s="280" t="s">
        <v>671</v>
      </c>
      <c r="I4" s="280"/>
      <c r="J4" s="280"/>
      <c r="K4" s="262"/>
      <c r="L4" s="262"/>
      <c r="M4" s="262"/>
      <c r="N4" s="262"/>
      <c r="O4" s="262"/>
      <c r="P4" s="262"/>
      <c r="Q4" s="262"/>
      <c r="R4" s="262"/>
      <c r="S4" s="262"/>
      <c r="T4" s="262"/>
      <c r="U4" s="262"/>
      <c r="V4" s="262"/>
      <c r="W4" s="262"/>
      <c r="X4" s="262"/>
      <c r="Y4" s="262"/>
      <c r="Z4" s="262"/>
      <c r="AA4" s="262"/>
      <c r="AB4" s="262"/>
      <c r="AC4" s="262"/>
      <c r="AD4" s="262"/>
      <c r="AE4" s="262"/>
      <c r="AF4" s="262"/>
      <c r="AG4" s="262"/>
      <c r="AH4" s="262"/>
      <c r="AI4" s="262"/>
      <c r="AJ4" s="262"/>
      <c r="AK4" s="262"/>
      <c r="AL4" s="262"/>
      <c r="AM4" s="262"/>
      <c r="AN4" s="262"/>
      <c r="AO4" s="262"/>
      <c r="AP4" s="262"/>
      <c r="AQ4" s="262"/>
      <c r="AR4" s="262"/>
    </row>
    <row r="5" spans="1:44" x14ac:dyDescent="0.35">
      <c r="A5" s="262"/>
      <c r="B5" s="262"/>
      <c r="C5" s="262"/>
      <c r="D5" s="262"/>
      <c r="E5" s="262"/>
      <c r="F5" s="262"/>
      <c r="G5" s="263" t="s">
        <v>413</v>
      </c>
      <c r="H5" s="281" t="s">
        <v>672</v>
      </c>
      <c r="I5" s="281"/>
      <c r="J5" s="281"/>
      <c r="K5" s="262"/>
      <c r="L5" s="262"/>
      <c r="M5" s="262"/>
      <c r="N5" s="262"/>
      <c r="O5" s="262"/>
      <c r="P5" s="262"/>
      <c r="Q5" s="262"/>
      <c r="R5" s="262"/>
      <c r="S5" s="262"/>
      <c r="T5" s="262"/>
      <c r="U5" s="262"/>
      <c r="V5" s="262"/>
      <c r="W5" s="262"/>
      <c r="X5" s="262"/>
      <c r="Y5" s="262"/>
      <c r="Z5" s="262"/>
      <c r="AA5" s="262"/>
      <c r="AB5" s="262"/>
      <c r="AC5" s="262"/>
      <c r="AD5" s="262"/>
      <c r="AE5" s="262"/>
      <c r="AF5" s="262"/>
      <c r="AG5" s="262"/>
      <c r="AH5" s="262"/>
      <c r="AI5" s="262"/>
      <c r="AJ5" s="262"/>
      <c r="AK5" s="262"/>
      <c r="AL5" s="262"/>
      <c r="AM5" s="262"/>
      <c r="AN5" s="262"/>
      <c r="AO5" s="262"/>
      <c r="AP5" s="262"/>
      <c r="AQ5" s="262"/>
      <c r="AR5" s="262"/>
    </row>
    <row r="6" spans="1:44" x14ac:dyDescent="0.35">
      <c r="A6" s="262"/>
      <c r="B6" s="262"/>
      <c r="C6" s="262"/>
      <c r="D6" s="262"/>
      <c r="E6" s="262"/>
      <c r="F6" s="262"/>
      <c r="G6" s="263" t="s">
        <v>414</v>
      </c>
      <c r="H6" s="282" t="s">
        <v>673</v>
      </c>
      <c r="I6" s="282"/>
      <c r="J6" s="282"/>
      <c r="K6" s="262"/>
      <c r="L6" s="262"/>
      <c r="M6" s="262"/>
      <c r="N6" s="262"/>
      <c r="O6" s="262"/>
      <c r="P6" s="262"/>
      <c r="Q6" s="262"/>
      <c r="R6" s="262"/>
      <c r="S6" s="262"/>
      <c r="T6" s="262"/>
      <c r="U6" s="262"/>
      <c r="V6" s="262"/>
      <c r="W6" s="262"/>
      <c r="X6" s="262"/>
      <c r="Y6" s="262"/>
      <c r="Z6" s="262"/>
      <c r="AA6" s="262"/>
      <c r="AB6" s="262"/>
      <c r="AC6" s="262"/>
      <c r="AD6" s="262"/>
      <c r="AE6" s="262"/>
      <c r="AF6" s="262"/>
      <c r="AG6" s="262"/>
      <c r="AH6" s="262"/>
      <c r="AI6" s="262"/>
      <c r="AJ6" s="262"/>
      <c r="AK6" s="262"/>
      <c r="AL6" s="262"/>
      <c r="AM6" s="262"/>
      <c r="AN6" s="262"/>
      <c r="AO6" s="262"/>
      <c r="AP6" s="262"/>
      <c r="AQ6" s="262"/>
      <c r="AR6" s="262"/>
    </row>
    <row r="7" spans="1:44" x14ac:dyDescent="0.35">
      <c r="A7" s="262"/>
      <c r="B7" s="262"/>
      <c r="C7" s="262"/>
      <c r="D7" s="262"/>
      <c r="E7" s="262"/>
      <c r="F7" s="262"/>
      <c r="G7" s="263" t="s">
        <v>415</v>
      </c>
      <c r="H7" s="283" t="s">
        <v>674</v>
      </c>
      <c r="I7" s="283"/>
      <c r="J7" s="283"/>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c r="AP7" s="262"/>
      <c r="AQ7" s="262"/>
      <c r="AR7" s="262"/>
    </row>
    <row r="8" spans="1:44" x14ac:dyDescent="0.35">
      <c r="A8" s="262"/>
      <c r="B8" s="262"/>
      <c r="C8" s="262"/>
      <c r="D8" s="262"/>
      <c r="E8" s="262"/>
      <c r="F8" s="262"/>
      <c r="G8" s="263" t="s">
        <v>416</v>
      </c>
      <c r="H8" s="284" t="s">
        <v>675</v>
      </c>
      <c r="I8" s="284"/>
      <c r="J8" s="284"/>
      <c r="K8" s="262"/>
      <c r="L8" s="262"/>
      <c r="M8" s="262"/>
      <c r="N8" s="262"/>
      <c r="O8" s="262"/>
      <c r="P8" s="262"/>
      <c r="Q8" s="262"/>
      <c r="R8" s="262"/>
      <c r="S8" s="262"/>
      <c r="T8" s="262"/>
      <c r="U8" s="262"/>
      <c r="V8" s="262"/>
      <c r="W8" s="262"/>
      <c r="X8" s="262"/>
      <c r="Y8" s="262"/>
      <c r="Z8" s="262"/>
      <c r="AA8" s="262"/>
      <c r="AB8" s="262"/>
      <c r="AC8" s="262"/>
      <c r="AD8" s="262"/>
      <c r="AE8" s="262"/>
      <c r="AF8" s="262"/>
      <c r="AG8" s="262"/>
      <c r="AH8" s="262"/>
      <c r="AI8" s="262"/>
      <c r="AJ8" s="262"/>
      <c r="AK8" s="262"/>
      <c r="AL8" s="262"/>
      <c r="AM8" s="262"/>
      <c r="AN8" s="262"/>
      <c r="AO8" s="262"/>
      <c r="AP8" s="262"/>
      <c r="AQ8" s="262"/>
      <c r="AR8" s="262"/>
    </row>
    <row r="9" spans="1:44" x14ac:dyDescent="0.35">
      <c r="A9" s="262"/>
      <c r="B9" s="262"/>
      <c r="C9" s="262"/>
      <c r="D9" s="262"/>
      <c r="E9" s="262"/>
      <c r="F9" s="262"/>
      <c r="G9" s="263" t="s">
        <v>472</v>
      </c>
      <c r="H9" s="279" t="s">
        <v>676</v>
      </c>
      <c r="I9" s="279"/>
      <c r="J9" s="279"/>
      <c r="K9" s="262"/>
      <c r="L9" s="262"/>
      <c r="M9" s="262"/>
      <c r="N9" s="262"/>
      <c r="O9" s="262"/>
      <c r="P9" s="262"/>
      <c r="Q9" s="262"/>
      <c r="R9" s="262"/>
      <c r="S9" s="262"/>
      <c r="T9" s="262"/>
      <c r="U9" s="262"/>
      <c r="V9" s="262"/>
      <c r="W9" s="262"/>
      <c r="X9" s="262"/>
      <c r="Y9" s="262"/>
      <c r="Z9" s="262"/>
      <c r="AA9" s="262"/>
      <c r="AB9" s="262"/>
      <c r="AC9" s="262"/>
      <c r="AD9" s="262"/>
      <c r="AE9" s="262"/>
      <c r="AF9" s="262"/>
      <c r="AG9" s="262"/>
      <c r="AH9" s="262"/>
      <c r="AI9" s="262"/>
      <c r="AJ9" s="262"/>
      <c r="AK9" s="262"/>
      <c r="AL9" s="262"/>
      <c r="AM9" s="262"/>
      <c r="AN9" s="262"/>
      <c r="AO9" s="262"/>
      <c r="AP9" s="262"/>
      <c r="AQ9" s="262"/>
      <c r="AR9" s="262"/>
    </row>
    <row r="10" spans="1:44" s="2" customFormat="1" x14ac:dyDescent="0.35">
      <c r="A10" s="267"/>
      <c r="B10" s="267"/>
      <c r="C10" s="267"/>
      <c r="D10" s="267"/>
      <c r="E10" s="267"/>
      <c r="F10" s="267"/>
      <c r="G10" s="268"/>
      <c r="H10" s="267"/>
      <c r="I10" s="267"/>
      <c r="J10" s="267"/>
      <c r="K10" s="267"/>
      <c r="L10" s="267"/>
      <c r="M10" s="267"/>
      <c r="N10" s="267"/>
      <c r="O10" s="267"/>
      <c r="P10" s="267"/>
      <c r="Q10" s="267"/>
      <c r="R10" s="267"/>
      <c r="S10" s="267"/>
      <c r="T10" s="267"/>
      <c r="U10" s="267"/>
      <c r="V10" s="262"/>
      <c r="W10" s="262"/>
      <c r="X10" s="262"/>
      <c r="Y10" s="262"/>
      <c r="Z10" s="262"/>
      <c r="AA10" s="262"/>
      <c r="AB10" s="262"/>
      <c r="AC10" s="262"/>
      <c r="AD10" s="262"/>
      <c r="AE10" s="262"/>
      <c r="AF10" s="262"/>
      <c r="AG10" s="262"/>
      <c r="AH10" s="262"/>
      <c r="AI10" s="262"/>
      <c r="AJ10" s="262"/>
      <c r="AK10" s="262"/>
      <c r="AL10" s="262"/>
      <c r="AM10" s="262"/>
      <c r="AN10" s="262"/>
      <c r="AO10" s="262"/>
      <c r="AP10" s="262"/>
      <c r="AQ10" s="262"/>
      <c r="AR10" s="262"/>
    </row>
    <row r="11" spans="1:44" s="2" customFormat="1" x14ac:dyDescent="0.35">
      <c r="A11" s="262" t="s">
        <v>686</v>
      </c>
      <c r="B11" s="262"/>
      <c r="C11" s="262"/>
      <c r="D11" s="262"/>
      <c r="E11" s="262"/>
      <c r="F11" s="262"/>
      <c r="G11" s="263"/>
      <c r="H11" s="262"/>
      <c r="I11" s="262"/>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262"/>
      <c r="AI11" s="262"/>
      <c r="AJ11" s="262"/>
      <c r="AK11" s="262"/>
      <c r="AL11" s="262"/>
      <c r="AM11" s="262"/>
      <c r="AN11" s="262"/>
      <c r="AO11" s="262"/>
      <c r="AP11" s="262"/>
      <c r="AQ11" s="262"/>
      <c r="AR11" s="262"/>
    </row>
    <row r="12" spans="1:44" s="2" customFormat="1" x14ac:dyDescent="0.35">
      <c r="A12" s="262" t="s">
        <v>687</v>
      </c>
      <c r="B12" s="262"/>
      <c r="C12" s="262"/>
      <c r="D12" s="262"/>
      <c r="E12" s="262"/>
      <c r="F12" s="262"/>
      <c r="G12" s="263"/>
      <c r="H12" s="262"/>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2"/>
      <c r="AI12" s="262"/>
      <c r="AJ12" s="262"/>
      <c r="AK12" s="262"/>
      <c r="AL12" s="262"/>
      <c r="AM12" s="262"/>
      <c r="AN12" s="262"/>
      <c r="AO12" s="262"/>
      <c r="AP12" s="262"/>
      <c r="AQ12" s="262"/>
      <c r="AR12" s="262"/>
    </row>
    <row r="13" spans="1:44" x14ac:dyDescent="0.35">
      <c r="A13" s="262" t="s">
        <v>688</v>
      </c>
      <c r="B13" s="262"/>
      <c r="C13" s="262"/>
      <c r="D13" s="262"/>
      <c r="E13" s="262"/>
      <c r="F13" s="262"/>
      <c r="G13" s="264"/>
      <c r="H13" s="262"/>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2"/>
      <c r="AI13" s="262"/>
      <c r="AJ13" s="262"/>
      <c r="AK13" s="262"/>
      <c r="AL13" s="262"/>
      <c r="AM13" s="262"/>
      <c r="AN13" s="262"/>
      <c r="AO13" s="262"/>
      <c r="AP13" s="262"/>
      <c r="AQ13" s="262"/>
      <c r="AR13" s="262"/>
    </row>
    <row r="14" spans="1:44" s="406" customFormat="1" x14ac:dyDescent="0.35">
      <c r="A14" s="262" t="s">
        <v>689</v>
      </c>
      <c r="B14" s="262"/>
      <c r="C14" s="262"/>
      <c r="D14" s="262"/>
      <c r="E14" s="262"/>
      <c r="F14" s="262"/>
      <c r="G14" s="264"/>
      <c r="H14" s="262"/>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2"/>
      <c r="AI14" s="262"/>
      <c r="AJ14" s="262"/>
      <c r="AK14" s="262"/>
      <c r="AL14" s="262"/>
      <c r="AM14" s="262"/>
      <c r="AN14" s="262"/>
      <c r="AO14" s="262"/>
      <c r="AP14" s="262"/>
      <c r="AQ14" s="262"/>
    </row>
    <row r="15" spans="1:44" s="2" customFormat="1" x14ac:dyDescent="0.35">
      <c r="A15" s="267"/>
      <c r="B15" s="267"/>
      <c r="C15" s="267"/>
      <c r="D15" s="267"/>
      <c r="E15" s="267"/>
      <c r="F15" s="267"/>
      <c r="G15" s="269"/>
      <c r="H15" s="267"/>
      <c r="I15" s="267"/>
      <c r="J15" s="267"/>
      <c r="K15" s="267"/>
      <c r="L15" s="267"/>
      <c r="M15" s="267"/>
      <c r="N15" s="267"/>
      <c r="O15" s="267"/>
      <c r="P15" s="267"/>
      <c r="Q15" s="267"/>
      <c r="R15" s="267"/>
      <c r="S15" s="267"/>
      <c r="T15" s="267"/>
      <c r="U15" s="267"/>
      <c r="V15" s="262"/>
      <c r="W15" s="262"/>
      <c r="X15" s="262"/>
      <c r="Y15" s="262"/>
      <c r="Z15" s="262"/>
      <c r="AA15" s="262"/>
      <c r="AB15" s="262"/>
      <c r="AC15" s="262"/>
      <c r="AD15" s="262"/>
      <c r="AE15" s="262"/>
      <c r="AF15" s="262"/>
      <c r="AG15" s="262"/>
      <c r="AH15" s="262"/>
      <c r="AI15" s="262"/>
      <c r="AJ15" s="262"/>
      <c r="AK15" s="262"/>
      <c r="AL15" s="262"/>
      <c r="AM15" s="262"/>
      <c r="AN15" s="262"/>
      <c r="AO15" s="262"/>
      <c r="AP15" s="262"/>
      <c r="AQ15" s="262"/>
      <c r="AR15" s="262"/>
    </row>
    <row r="16" spans="1:44" s="2" customFormat="1" x14ac:dyDescent="0.35">
      <c r="A16" s="262" t="s">
        <v>690</v>
      </c>
      <c r="B16" s="262"/>
      <c r="C16" s="262"/>
      <c r="D16" s="262"/>
      <c r="E16" s="262"/>
      <c r="F16" s="262"/>
      <c r="G16" s="264"/>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2"/>
      <c r="AI16" s="262"/>
      <c r="AJ16" s="262"/>
      <c r="AK16" s="262"/>
      <c r="AL16" s="262"/>
      <c r="AM16" s="262"/>
      <c r="AN16" s="262"/>
      <c r="AO16" s="262"/>
      <c r="AP16" s="262"/>
      <c r="AQ16" s="262"/>
      <c r="AR16" s="262"/>
    </row>
    <row r="17" spans="1:44" s="2" customFormat="1" x14ac:dyDescent="0.35">
      <c r="A17" s="407" t="s">
        <v>691</v>
      </c>
      <c r="B17" s="262"/>
      <c r="C17" s="262"/>
      <c r="D17" s="262"/>
      <c r="E17" s="262"/>
      <c r="F17" s="262"/>
      <c r="G17" s="264"/>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2"/>
      <c r="AI17" s="262"/>
      <c r="AJ17" s="262"/>
      <c r="AK17" s="262"/>
      <c r="AL17" s="262"/>
      <c r="AM17" s="262"/>
      <c r="AN17" s="262"/>
      <c r="AO17" s="262"/>
      <c r="AP17" s="262"/>
      <c r="AQ17" s="262"/>
      <c r="AR17" s="262"/>
    </row>
    <row r="18" spans="1:44" s="2" customFormat="1" x14ac:dyDescent="0.35">
      <c r="A18" s="270"/>
      <c r="B18" s="267"/>
      <c r="C18" s="267"/>
      <c r="D18" s="267"/>
      <c r="E18" s="267"/>
      <c r="F18" s="267"/>
      <c r="G18" s="269"/>
      <c r="H18" s="267"/>
      <c r="I18" s="267"/>
      <c r="J18" s="267"/>
      <c r="K18" s="267"/>
      <c r="L18" s="267"/>
      <c r="M18" s="267"/>
      <c r="N18" s="267"/>
      <c r="O18" s="267"/>
      <c r="P18" s="267"/>
      <c r="Q18" s="267"/>
      <c r="R18" s="267"/>
      <c r="S18" s="267"/>
      <c r="T18" s="267"/>
      <c r="U18" s="267"/>
      <c r="V18" s="262"/>
      <c r="W18" s="262"/>
      <c r="X18" s="262"/>
      <c r="Y18" s="262"/>
      <c r="Z18" s="262"/>
      <c r="AA18" s="262"/>
      <c r="AB18" s="262"/>
      <c r="AC18" s="262"/>
      <c r="AD18" s="262"/>
      <c r="AE18" s="262"/>
      <c r="AF18" s="262"/>
      <c r="AG18" s="262"/>
      <c r="AH18" s="262"/>
      <c r="AI18" s="262"/>
      <c r="AJ18" s="262"/>
      <c r="AK18" s="262"/>
      <c r="AL18" s="262"/>
      <c r="AM18" s="262"/>
      <c r="AN18" s="262"/>
      <c r="AO18" s="262"/>
      <c r="AP18" s="262"/>
      <c r="AQ18" s="262"/>
      <c r="AR18" s="262"/>
    </row>
    <row r="19" spans="1:44" x14ac:dyDescent="0.35">
      <c r="A19" s="262" t="s">
        <v>677</v>
      </c>
      <c r="B19" s="262"/>
      <c r="C19" s="271" t="s">
        <v>412</v>
      </c>
      <c r="D19" s="265" t="s">
        <v>678</v>
      </c>
      <c r="E19" s="262"/>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2"/>
      <c r="AI19" s="262"/>
      <c r="AJ19" s="262"/>
      <c r="AK19" s="262"/>
      <c r="AL19" s="262"/>
      <c r="AM19" s="262"/>
      <c r="AN19" s="262"/>
      <c r="AO19" s="262"/>
      <c r="AP19" s="262"/>
      <c r="AQ19" s="262"/>
      <c r="AR19" s="262"/>
    </row>
    <row r="20" spans="1:44" x14ac:dyDescent="0.35">
      <c r="A20" s="262"/>
      <c r="B20" s="262"/>
      <c r="C20" s="271"/>
      <c r="D20" s="262" t="s">
        <v>679</v>
      </c>
      <c r="E20" s="262"/>
      <c r="F20" s="262"/>
      <c r="G20" s="262"/>
      <c r="H20" s="262"/>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62"/>
      <c r="AL20" s="262"/>
      <c r="AM20" s="262"/>
      <c r="AN20" s="262"/>
      <c r="AO20" s="262"/>
      <c r="AP20" s="262"/>
      <c r="AQ20" s="262"/>
      <c r="AR20" s="262"/>
    </row>
    <row r="21" spans="1:44" x14ac:dyDescent="0.35">
      <c r="A21" s="262"/>
      <c r="B21" s="262"/>
      <c r="C21" s="272"/>
      <c r="D21" s="262" t="s">
        <v>680</v>
      </c>
      <c r="E21" s="262"/>
      <c r="F21" s="262"/>
      <c r="G21" s="262"/>
      <c r="H21" s="262"/>
      <c r="I21" s="262"/>
      <c r="J21" s="266" t="s">
        <v>681</v>
      </c>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262"/>
      <c r="AM21" s="262"/>
      <c r="AN21" s="262"/>
      <c r="AO21" s="262"/>
      <c r="AP21" s="262"/>
      <c r="AQ21" s="262"/>
      <c r="AR21" s="262"/>
    </row>
    <row r="22" spans="1:44" x14ac:dyDescent="0.35">
      <c r="A22" s="262"/>
      <c r="B22" s="262"/>
      <c r="C22" s="271" t="s">
        <v>413</v>
      </c>
      <c r="D22" s="265" t="s">
        <v>692</v>
      </c>
      <c r="E22" s="262"/>
      <c r="F22" s="262"/>
      <c r="G22" s="262"/>
      <c r="H22" s="262"/>
      <c r="I22" s="262"/>
      <c r="J22" s="262"/>
      <c r="K22" s="262"/>
      <c r="L22" s="262"/>
      <c r="M22" s="262"/>
      <c r="N22" s="262"/>
      <c r="O22" s="262"/>
      <c r="P22" s="262"/>
      <c r="Q22" s="262"/>
      <c r="R22" s="262"/>
      <c r="S22" s="262"/>
      <c r="T22" s="262"/>
      <c r="U22" s="262"/>
      <c r="V22" s="262"/>
      <c r="W22" s="262"/>
      <c r="X22" s="262"/>
      <c r="Y22" s="262"/>
      <c r="Z22" s="262"/>
      <c r="AA22" s="262"/>
      <c r="AB22" s="262"/>
      <c r="AC22" s="262"/>
      <c r="AD22" s="262"/>
      <c r="AE22" s="262"/>
      <c r="AF22" s="262"/>
      <c r="AG22" s="262"/>
      <c r="AH22" s="262"/>
      <c r="AI22" s="262"/>
      <c r="AJ22" s="262"/>
      <c r="AK22" s="262"/>
      <c r="AL22" s="262"/>
      <c r="AM22" s="262"/>
      <c r="AN22" s="262"/>
      <c r="AO22" s="262"/>
      <c r="AP22" s="262"/>
      <c r="AQ22" s="262"/>
      <c r="AR22" s="262"/>
    </row>
    <row r="23" spans="1:44" x14ac:dyDescent="0.35">
      <c r="A23" s="262"/>
      <c r="B23" s="262"/>
      <c r="C23" s="262"/>
      <c r="D23" s="262" t="s">
        <v>693</v>
      </c>
      <c r="E23" s="262"/>
      <c r="F23" s="262"/>
      <c r="G23" s="262"/>
      <c r="H23" s="262"/>
      <c r="I23" s="262"/>
      <c r="J23" s="262"/>
      <c r="K23" s="262"/>
      <c r="L23" s="262"/>
      <c r="M23" s="262"/>
      <c r="N23" s="262"/>
      <c r="O23" s="262"/>
      <c r="P23" s="262"/>
      <c r="Q23" s="262"/>
      <c r="R23" s="262"/>
      <c r="S23" s="262"/>
      <c r="T23" s="262"/>
      <c r="U23" s="262"/>
      <c r="V23" s="262"/>
      <c r="W23" s="262"/>
      <c r="X23" s="262"/>
      <c r="Y23" s="262"/>
      <c r="Z23" s="262"/>
      <c r="AA23" s="262"/>
      <c r="AB23" s="262"/>
      <c r="AC23" s="262"/>
      <c r="AD23" s="262"/>
      <c r="AE23" s="262"/>
      <c r="AF23" s="262"/>
      <c r="AG23" s="262"/>
      <c r="AH23" s="262"/>
      <c r="AI23" s="262"/>
      <c r="AJ23" s="262"/>
      <c r="AK23" s="262"/>
      <c r="AL23" s="262"/>
      <c r="AM23" s="262"/>
      <c r="AN23" s="262"/>
      <c r="AO23" s="262"/>
      <c r="AP23" s="262"/>
      <c r="AQ23" s="262"/>
      <c r="AR23" s="262"/>
    </row>
    <row r="24" spans="1:44" x14ac:dyDescent="0.35">
      <c r="A24" s="267"/>
      <c r="B24" s="267"/>
      <c r="C24" s="267"/>
      <c r="D24" s="267"/>
      <c r="E24" s="267"/>
      <c r="F24" s="267"/>
      <c r="G24" s="267"/>
      <c r="H24" s="267"/>
      <c r="I24" s="267"/>
      <c r="J24" s="267"/>
      <c r="K24" s="267"/>
      <c r="L24" s="267"/>
      <c r="M24" s="267"/>
      <c r="N24" s="267"/>
      <c r="O24" s="267"/>
      <c r="P24" s="267"/>
      <c r="Q24" s="267"/>
      <c r="R24" s="267"/>
      <c r="S24" s="267"/>
      <c r="T24" s="267"/>
      <c r="U24" s="267"/>
      <c r="V24" s="262"/>
      <c r="W24" s="262"/>
      <c r="X24" s="262"/>
      <c r="Y24" s="262"/>
      <c r="Z24" s="262"/>
      <c r="AA24" s="262"/>
      <c r="AB24" s="262"/>
      <c r="AC24" s="262"/>
      <c r="AD24" s="262"/>
      <c r="AE24" s="262"/>
      <c r="AF24" s="262"/>
      <c r="AG24" s="262"/>
      <c r="AH24" s="262"/>
      <c r="AI24" s="262"/>
      <c r="AJ24" s="262"/>
      <c r="AK24" s="262"/>
      <c r="AL24" s="262"/>
      <c r="AM24" s="262"/>
      <c r="AN24" s="262"/>
      <c r="AO24" s="262"/>
      <c r="AP24" s="262"/>
      <c r="AQ24" s="262"/>
      <c r="AR24" s="262"/>
    </row>
    <row r="25" spans="1:44" x14ac:dyDescent="0.35">
      <c r="A25" s="262" t="s">
        <v>684</v>
      </c>
      <c r="B25" s="262"/>
      <c r="C25" s="262"/>
      <c r="D25" s="262"/>
      <c r="E25" s="262"/>
      <c r="F25" s="262"/>
      <c r="G25" s="262"/>
      <c r="H25" s="262"/>
      <c r="I25" s="262"/>
      <c r="J25" s="262"/>
      <c r="K25" s="262"/>
      <c r="L25" s="262"/>
      <c r="M25" s="262"/>
      <c r="N25" s="262"/>
      <c r="O25" s="262"/>
      <c r="P25" s="262"/>
      <c r="Q25" s="276" t="s">
        <v>683</v>
      </c>
      <c r="R25" s="262"/>
      <c r="S25" s="262"/>
      <c r="T25" s="262"/>
      <c r="U25" s="262"/>
      <c r="V25" s="262"/>
      <c r="W25" s="262"/>
      <c r="X25" s="262"/>
      <c r="Y25" s="262"/>
      <c r="Z25" s="262"/>
      <c r="AA25" s="262"/>
      <c r="AB25" s="262"/>
      <c r="AC25" s="262"/>
      <c r="AD25" s="262"/>
      <c r="AE25" s="262"/>
      <c r="AF25" s="262"/>
      <c r="AG25" s="262"/>
      <c r="AH25" s="262"/>
      <c r="AI25" s="262"/>
      <c r="AJ25" s="262"/>
      <c r="AK25" s="262"/>
      <c r="AL25" s="262"/>
      <c r="AM25" s="262"/>
      <c r="AN25" s="262"/>
      <c r="AO25" s="262"/>
      <c r="AP25" s="262"/>
      <c r="AQ25" s="262"/>
      <c r="AR25" s="262"/>
    </row>
    <row r="26" spans="1:44" x14ac:dyDescent="0.35">
      <c r="A26" s="267"/>
      <c r="B26" s="267"/>
      <c r="C26" s="267"/>
      <c r="D26" s="267"/>
      <c r="E26" s="267"/>
      <c r="F26" s="267"/>
      <c r="G26" s="267"/>
      <c r="H26" s="267"/>
      <c r="I26" s="267"/>
      <c r="J26" s="267"/>
      <c r="K26" s="267"/>
      <c r="L26" s="267"/>
      <c r="M26" s="267"/>
      <c r="N26" s="267"/>
      <c r="O26" s="267"/>
      <c r="P26" s="267"/>
      <c r="Q26" s="267"/>
      <c r="R26" s="267"/>
      <c r="S26" s="267"/>
      <c r="T26" s="267"/>
      <c r="U26" s="267"/>
      <c r="V26" s="262"/>
      <c r="W26" s="262"/>
      <c r="X26" s="262"/>
      <c r="Y26" s="262"/>
      <c r="Z26" s="262"/>
      <c r="AA26" s="262"/>
      <c r="AB26" s="262"/>
      <c r="AC26" s="262"/>
      <c r="AD26" s="262"/>
      <c r="AE26" s="262"/>
      <c r="AF26" s="262"/>
      <c r="AG26" s="262"/>
      <c r="AH26" s="262"/>
      <c r="AI26" s="262"/>
      <c r="AJ26" s="262"/>
      <c r="AK26" s="262"/>
      <c r="AL26" s="262"/>
      <c r="AM26" s="262"/>
      <c r="AN26" s="262"/>
      <c r="AO26" s="262"/>
      <c r="AP26" s="262"/>
      <c r="AQ26" s="262"/>
      <c r="AR26" s="262"/>
    </row>
    <row r="27" spans="1:44" x14ac:dyDescent="0.35">
      <c r="A27" s="262"/>
      <c r="B27" s="262"/>
      <c r="C27" s="262"/>
      <c r="D27" s="262"/>
      <c r="E27" s="262"/>
      <c r="F27" s="262"/>
      <c r="G27" s="262"/>
      <c r="H27" s="262"/>
      <c r="I27" s="262"/>
      <c r="J27" s="262"/>
      <c r="K27" s="262"/>
      <c r="L27" s="262"/>
      <c r="M27" s="262"/>
      <c r="N27" s="262"/>
      <c r="O27" s="262"/>
      <c r="P27" s="262"/>
      <c r="Q27" s="262"/>
      <c r="R27" s="262"/>
      <c r="S27" s="262"/>
      <c r="T27" s="262"/>
      <c r="U27" s="262"/>
      <c r="V27" s="262"/>
      <c r="W27" s="262"/>
      <c r="X27" s="262"/>
      <c r="Y27" s="262"/>
      <c r="Z27" s="262"/>
      <c r="AA27" s="262"/>
      <c r="AB27" s="262"/>
      <c r="AC27" s="262"/>
      <c r="AD27" s="262"/>
      <c r="AE27" s="262"/>
      <c r="AF27" s="262"/>
      <c r="AG27" s="262"/>
      <c r="AH27" s="262"/>
      <c r="AI27" s="262"/>
      <c r="AJ27" s="262"/>
      <c r="AK27" s="262"/>
      <c r="AL27" s="262"/>
      <c r="AM27" s="262"/>
      <c r="AN27" s="262"/>
      <c r="AO27" s="262"/>
      <c r="AP27" s="262"/>
      <c r="AQ27" s="262"/>
      <c r="AR27" s="262"/>
    </row>
    <row r="28" spans="1:44" x14ac:dyDescent="0.35">
      <c r="A28" s="262"/>
      <c r="B28" s="262"/>
      <c r="C28" s="262"/>
      <c r="D28" s="262"/>
      <c r="E28" s="262"/>
      <c r="F28" s="262"/>
      <c r="G28" s="262"/>
      <c r="H28" s="262"/>
      <c r="I28" s="262"/>
      <c r="J28" s="262"/>
      <c r="K28" s="262"/>
      <c r="L28" s="262"/>
      <c r="M28" s="262"/>
      <c r="N28" s="262"/>
      <c r="O28" s="262"/>
      <c r="P28" s="262"/>
      <c r="Q28" s="262"/>
      <c r="R28" s="262"/>
      <c r="S28" s="262"/>
      <c r="T28" s="262"/>
      <c r="U28" s="262"/>
      <c r="V28" s="262"/>
      <c r="W28" s="262"/>
      <c r="X28" s="262"/>
      <c r="Y28" s="262"/>
      <c r="Z28" s="262"/>
      <c r="AA28" s="262"/>
      <c r="AB28" s="262"/>
      <c r="AC28" s="262"/>
      <c r="AD28" s="262"/>
      <c r="AE28" s="262"/>
      <c r="AF28" s="262"/>
      <c r="AG28" s="262"/>
      <c r="AH28" s="262"/>
      <c r="AI28" s="262"/>
      <c r="AJ28" s="262"/>
      <c r="AK28" s="262"/>
      <c r="AL28" s="262"/>
      <c r="AM28" s="262"/>
      <c r="AN28" s="262"/>
      <c r="AO28" s="262"/>
      <c r="AP28" s="262"/>
      <c r="AQ28" s="262"/>
      <c r="AR28" s="262"/>
    </row>
    <row r="29" spans="1:44" x14ac:dyDescent="0.35">
      <c r="A29" s="262"/>
      <c r="B29" s="262"/>
      <c r="C29" s="262"/>
      <c r="D29" s="262"/>
      <c r="E29" s="262"/>
      <c r="F29" s="262"/>
      <c r="G29" s="262"/>
      <c r="H29" s="262"/>
      <c r="I29" s="262"/>
      <c r="J29" s="262"/>
      <c r="K29" s="262"/>
      <c r="L29" s="262"/>
      <c r="M29" s="262"/>
      <c r="N29" s="262"/>
      <c r="O29" s="262"/>
      <c r="P29" s="262"/>
      <c r="Q29" s="262"/>
      <c r="R29" s="262"/>
      <c r="S29" s="262"/>
      <c r="T29" s="262"/>
      <c r="U29" s="262"/>
      <c r="V29" s="262"/>
      <c r="W29" s="262"/>
      <c r="X29" s="262"/>
      <c r="Y29" s="262"/>
      <c r="Z29" s="262"/>
      <c r="AA29" s="262"/>
      <c r="AB29" s="262"/>
      <c r="AC29" s="262"/>
      <c r="AD29" s="262"/>
      <c r="AE29" s="262"/>
      <c r="AF29" s="262"/>
      <c r="AG29" s="262"/>
      <c r="AH29" s="262"/>
      <c r="AI29" s="262"/>
      <c r="AJ29" s="262"/>
      <c r="AK29" s="262"/>
      <c r="AL29" s="262"/>
      <c r="AM29" s="262"/>
      <c r="AN29" s="262"/>
      <c r="AO29" s="262"/>
      <c r="AP29" s="262"/>
      <c r="AQ29" s="262"/>
      <c r="AR29" s="262"/>
    </row>
    <row r="30" spans="1:44" x14ac:dyDescent="0.35">
      <c r="A30" s="262"/>
      <c r="B30" s="262"/>
      <c r="C30" s="262"/>
      <c r="D30" s="262"/>
      <c r="E30" s="262"/>
      <c r="F30" s="262"/>
      <c r="G30" s="262"/>
      <c r="H30" s="262"/>
      <c r="I30" s="262"/>
      <c r="J30" s="262"/>
      <c r="K30" s="262"/>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62"/>
      <c r="AK30" s="262"/>
      <c r="AL30" s="262"/>
      <c r="AM30" s="262"/>
      <c r="AN30" s="262"/>
      <c r="AO30" s="262"/>
      <c r="AP30" s="262"/>
      <c r="AQ30" s="262"/>
      <c r="AR30" s="262"/>
    </row>
    <row r="31" spans="1:44" x14ac:dyDescent="0.35">
      <c r="A31" s="262"/>
      <c r="B31" s="262"/>
      <c r="C31" s="262"/>
      <c r="D31" s="262"/>
      <c r="E31" s="262"/>
      <c r="F31" s="262"/>
      <c r="G31" s="262"/>
      <c r="H31" s="262"/>
      <c r="I31" s="262"/>
      <c r="J31" s="262"/>
      <c r="K31" s="262"/>
      <c r="L31" s="262"/>
      <c r="M31" s="262"/>
      <c r="N31" s="262"/>
      <c r="O31" s="262"/>
      <c r="P31" s="262"/>
      <c r="Q31" s="262"/>
      <c r="R31" s="262"/>
      <c r="S31" s="262"/>
      <c r="T31" s="262"/>
      <c r="U31" s="262"/>
      <c r="V31" s="262"/>
      <c r="W31" s="262"/>
      <c r="X31" s="262"/>
      <c r="Y31" s="262"/>
      <c r="Z31" s="262"/>
      <c r="AA31" s="262"/>
      <c r="AB31" s="262"/>
      <c r="AC31" s="262"/>
      <c r="AD31" s="262"/>
      <c r="AE31" s="262"/>
      <c r="AF31" s="262"/>
      <c r="AG31" s="262"/>
      <c r="AH31" s="262"/>
      <c r="AI31" s="262"/>
      <c r="AJ31" s="262"/>
      <c r="AK31" s="262"/>
      <c r="AL31" s="262"/>
      <c r="AM31" s="262"/>
      <c r="AN31" s="262"/>
      <c r="AO31" s="262"/>
      <c r="AP31" s="262"/>
      <c r="AQ31" s="262"/>
      <c r="AR31" s="262"/>
    </row>
    <row r="32" spans="1:44" x14ac:dyDescent="0.35">
      <c r="A32" s="262"/>
      <c r="B32" s="262"/>
      <c r="C32" s="262"/>
      <c r="D32" s="262"/>
      <c r="E32" s="262"/>
      <c r="F32" s="262"/>
      <c r="G32" s="262"/>
      <c r="H32" s="262"/>
      <c r="I32" s="262"/>
      <c r="J32" s="262"/>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262"/>
      <c r="AL32" s="262"/>
      <c r="AM32" s="262"/>
      <c r="AN32" s="262"/>
      <c r="AO32" s="262"/>
      <c r="AP32" s="262"/>
      <c r="AQ32" s="262"/>
      <c r="AR32" s="262"/>
    </row>
    <row r="33" spans="1:44" x14ac:dyDescent="0.35">
      <c r="A33" s="262"/>
      <c r="B33" s="262"/>
      <c r="C33" s="262"/>
      <c r="D33" s="262"/>
      <c r="E33" s="262"/>
      <c r="F33" s="262"/>
      <c r="G33" s="262"/>
      <c r="H33" s="262"/>
      <c r="I33" s="262"/>
      <c r="J33" s="262"/>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262"/>
      <c r="AL33" s="262"/>
      <c r="AM33" s="262"/>
      <c r="AN33" s="262"/>
      <c r="AO33" s="262"/>
      <c r="AP33" s="262"/>
      <c r="AQ33" s="262"/>
      <c r="AR33" s="262"/>
    </row>
    <row r="34" spans="1:44" x14ac:dyDescent="0.35">
      <c r="A34" s="262"/>
      <c r="B34" s="262"/>
      <c r="C34" s="262"/>
      <c r="D34" s="262"/>
      <c r="E34" s="262"/>
      <c r="F34" s="262"/>
      <c r="G34" s="262"/>
      <c r="H34" s="262"/>
      <c r="I34" s="262"/>
      <c r="J34" s="262"/>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262"/>
      <c r="AL34" s="262"/>
      <c r="AM34" s="262"/>
      <c r="AN34" s="262"/>
      <c r="AO34" s="262"/>
      <c r="AP34" s="262"/>
      <c r="AQ34" s="262"/>
      <c r="AR34" s="262"/>
    </row>
    <row r="35" spans="1:44" x14ac:dyDescent="0.35">
      <c r="A35" s="262"/>
      <c r="B35" s="262"/>
      <c r="C35" s="262"/>
      <c r="D35" s="262"/>
      <c r="E35" s="262"/>
      <c r="F35" s="262"/>
      <c r="G35" s="262"/>
      <c r="H35" s="262"/>
      <c r="I35" s="262"/>
      <c r="J35" s="262"/>
      <c r="K35" s="262"/>
      <c r="L35" s="262"/>
      <c r="M35" s="262"/>
      <c r="N35" s="262"/>
      <c r="O35" s="262"/>
      <c r="P35" s="262"/>
      <c r="Q35" s="262"/>
      <c r="R35" s="262"/>
      <c r="S35" s="262"/>
      <c r="T35" s="262"/>
      <c r="U35" s="262"/>
      <c r="V35" s="262"/>
      <c r="W35" s="262"/>
      <c r="X35" s="262"/>
      <c r="Y35" s="262"/>
      <c r="Z35" s="262"/>
      <c r="AA35" s="262"/>
      <c r="AB35" s="262"/>
      <c r="AC35" s="262"/>
      <c r="AD35" s="262"/>
      <c r="AE35" s="262"/>
      <c r="AF35" s="262"/>
      <c r="AG35" s="262"/>
      <c r="AH35" s="262"/>
      <c r="AI35" s="262"/>
      <c r="AJ35" s="262"/>
      <c r="AK35" s="262"/>
      <c r="AL35" s="262"/>
      <c r="AM35" s="262"/>
      <c r="AN35" s="262"/>
      <c r="AO35" s="262"/>
      <c r="AP35" s="262"/>
      <c r="AQ35" s="262"/>
      <c r="AR35" s="262"/>
    </row>
    <row r="36" spans="1:44" x14ac:dyDescent="0.35">
      <c r="A36" s="262"/>
      <c r="B36" s="262"/>
      <c r="C36" s="262"/>
      <c r="D36" s="262"/>
      <c r="E36" s="262"/>
      <c r="F36" s="262"/>
      <c r="G36" s="262"/>
      <c r="H36" s="262"/>
      <c r="I36" s="262"/>
      <c r="J36" s="262"/>
      <c r="K36" s="262"/>
      <c r="L36" s="262"/>
      <c r="M36" s="262"/>
      <c r="N36" s="262"/>
      <c r="O36" s="262"/>
      <c r="P36" s="262"/>
      <c r="Q36" s="262"/>
      <c r="R36" s="262"/>
      <c r="S36" s="262"/>
      <c r="T36" s="262"/>
      <c r="U36" s="262"/>
      <c r="V36" s="262"/>
      <c r="W36" s="262"/>
      <c r="X36" s="262"/>
      <c r="Y36" s="262"/>
      <c r="Z36" s="262"/>
      <c r="AA36" s="262"/>
      <c r="AB36" s="262"/>
      <c r="AC36" s="262"/>
      <c r="AD36" s="262"/>
      <c r="AE36" s="262"/>
      <c r="AF36" s="262"/>
      <c r="AG36" s="262"/>
      <c r="AH36" s="262"/>
      <c r="AI36" s="262"/>
      <c r="AJ36" s="262"/>
      <c r="AK36" s="262"/>
      <c r="AL36" s="262"/>
      <c r="AM36" s="262"/>
      <c r="AN36" s="262"/>
      <c r="AO36" s="262"/>
      <c r="AP36" s="262"/>
      <c r="AQ36" s="262"/>
      <c r="AR36" s="262"/>
    </row>
    <row r="37" spans="1:44" x14ac:dyDescent="0.35">
      <c r="A37" s="262"/>
      <c r="B37" s="262"/>
      <c r="C37" s="262"/>
      <c r="D37" s="262"/>
      <c r="E37" s="262"/>
      <c r="F37" s="262"/>
      <c r="G37" s="262"/>
      <c r="H37" s="262"/>
      <c r="I37" s="262"/>
      <c r="J37" s="262"/>
      <c r="K37" s="262"/>
      <c r="L37" s="262"/>
      <c r="M37" s="262"/>
      <c r="N37" s="262"/>
      <c r="O37" s="262"/>
      <c r="P37" s="262"/>
      <c r="Q37" s="262"/>
      <c r="R37" s="262"/>
      <c r="S37" s="262"/>
      <c r="T37" s="262"/>
      <c r="U37" s="262"/>
      <c r="V37" s="262"/>
      <c r="W37" s="262"/>
      <c r="X37" s="262"/>
      <c r="Y37" s="262"/>
      <c r="Z37" s="262"/>
      <c r="AA37" s="262"/>
      <c r="AB37" s="262"/>
      <c r="AC37" s="262"/>
      <c r="AD37" s="262"/>
      <c r="AE37" s="262"/>
      <c r="AF37" s="262"/>
      <c r="AG37" s="262"/>
      <c r="AH37" s="262"/>
      <c r="AI37" s="262"/>
      <c r="AJ37" s="262"/>
      <c r="AK37" s="262"/>
      <c r="AL37" s="262"/>
      <c r="AM37" s="262"/>
      <c r="AN37" s="262"/>
      <c r="AO37" s="262"/>
      <c r="AP37" s="262"/>
      <c r="AQ37" s="262"/>
      <c r="AR37" s="262"/>
    </row>
    <row r="38" spans="1:44" x14ac:dyDescent="0.35">
      <c r="A38" s="262"/>
      <c r="B38" s="262"/>
      <c r="C38" s="262"/>
      <c r="D38" s="262"/>
      <c r="E38" s="262"/>
      <c r="F38" s="262"/>
      <c r="G38" s="262"/>
      <c r="H38" s="262"/>
      <c r="I38" s="262"/>
      <c r="J38" s="262"/>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262"/>
      <c r="AL38" s="262"/>
      <c r="AM38" s="262"/>
      <c r="AN38" s="262"/>
      <c r="AO38" s="262"/>
      <c r="AP38" s="262"/>
      <c r="AQ38" s="262"/>
      <c r="AR38" s="262"/>
    </row>
    <row r="39" spans="1:44" x14ac:dyDescent="0.35">
      <c r="A39" s="262"/>
      <c r="B39" s="262"/>
      <c r="C39" s="262"/>
      <c r="D39" s="262"/>
      <c r="E39" s="262"/>
      <c r="F39" s="262"/>
      <c r="G39" s="262"/>
      <c r="H39" s="262"/>
      <c r="I39" s="262"/>
      <c r="J39" s="262"/>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262"/>
      <c r="AH39" s="262"/>
      <c r="AI39" s="262"/>
      <c r="AJ39" s="262"/>
      <c r="AK39" s="262"/>
      <c r="AL39" s="262"/>
      <c r="AM39" s="262"/>
      <c r="AN39" s="262"/>
      <c r="AO39" s="262"/>
      <c r="AP39" s="262"/>
      <c r="AQ39" s="262"/>
      <c r="AR39" s="262"/>
    </row>
    <row r="40" spans="1:44" x14ac:dyDescent="0.35">
      <c r="A40" s="262"/>
      <c r="B40" s="262"/>
      <c r="C40" s="262"/>
      <c r="D40" s="262"/>
      <c r="E40" s="262"/>
      <c r="F40" s="262"/>
      <c r="G40" s="262"/>
      <c r="H40" s="262"/>
      <c r="I40" s="262"/>
      <c r="J40" s="262"/>
      <c r="K40" s="262"/>
      <c r="L40" s="262"/>
      <c r="M40" s="262"/>
      <c r="N40" s="262"/>
      <c r="O40" s="262"/>
      <c r="P40" s="262"/>
      <c r="Q40" s="262"/>
      <c r="R40" s="262"/>
      <c r="S40" s="262"/>
      <c r="T40" s="262"/>
      <c r="U40" s="262"/>
      <c r="V40" s="262"/>
      <c r="W40" s="262"/>
      <c r="X40" s="262"/>
      <c r="Y40" s="262"/>
      <c r="Z40" s="262"/>
      <c r="AA40" s="262"/>
      <c r="AB40" s="262"/>
      <c r="AC40" s="262"/>
      <c r="AD40" s="262"/>
      <c r="AE40" s="262"/>
      <c r="AF40" s="262"/>
      <c r="AG40" s="262"/>
      <c r="AH40" s="262"/>
      <c r="AI40" s="262"/>
      <c r="AJ40" s="262"/>
      <c r="AK40" s="262"/>
      <c r="AL40" s="262"/>
      <c r="AM40" s="262"/>
      <c r="AN40" s="262"/>
      <c r="AO40" s="262"/>
      <c r="AP40" s="262"/>
      <c r="AQ40" s="262"/>
      <c r="AR40" s="262"/>
    </row>
    <row r="41" spans="1:44" x14ac:dyDescent="0.35">
      <c r="A41" s="262"/>
      <c r="B41" s="262"/>
      <c r="C41" s="262"/>
      <c r="D41" s="262"/>
      <c r="E41" s="262"/>
      <c r="F41" s="262"/>
      <c r="G41" s="262"/>
      <c r="H41" s="262"/>
      <c r="I41" s="262"/>
      <c r="J41" s="262"/>
      <c r="K41" s="262"/>
      <c r="L41" s="262"/>
      <c r="M41" s="262"/>
      <c r="N41" s="262"/>
      <c r="O41" s="262"/>
      <c r="P41" s="262"/>
      <c r="Q41" s="262"/>
      <c r="R41" s="262"/>
      <c r="S41" s="262"/>
      <c r="T41" s="262"/>
      <c r="U41" s="262"/>
      <c r="V41" s="262"/>
      <c r="W41" s="262"/>
      <c r="X41" s="262"/>
      <c r="Y41" s="262"/>
      <c r="Z41" s="262"/>
      <c r="AA41" s="262"/>
      <c r="AB41" s="262"/>
      <c r="AC41" s="262"/>
      <c r="AD41" s="262"/>
      <c r="AE41" s="262"/>
      <c r="AF41" s="262"/>
      <c r="AG41" s="262"/>
      <c r="AH41" s="262"/>
      <c r="AI41" s="262"/>
      <c r="AJ41" s="262"/>
      <c r="AK41" s="262"/>
      <c r="AL41" s="262"/>
      <c r="AM41" s="262"/>
      <c r="AN41" s="262"/>
      <c r="AO41" s="262"/>
      <c r="AP41" s="262"/>
      <c r="AQ41" s="262"/>
      <c r="AR41" s="262"/>
    </row>
    <row r="42" spans="1:44" x14ac:dyDescent="0.35">
      <c r="A42" s="262"/>
      <c r="B42" s="262"/>
      <c r="C42" s="262"/>
      <c r="D42" s="262"/>
      <c r="E42" s="262"/>
      <c r="F42" s="262"/>
      <c r="G42" s="262"/>
      <c r="H42" s="262"/>
      <c r="I42" s="262"/>
      <c r="J42" s="262"/>
      <c r="K42" s="262"/>
      <c r="L42" s="262"/>
      <c r="M42" s="262"/>
      <c r="N42" s="262"/>
      <c r="O42" s="262"/>
      <c r="P42" s="262"/>
      <c r="Q42" s="262"/>
      <c r="R42" s="262"/>
      <c r="S42" s="262"/>
      <c r="T42" s="262"/>
      <c r="U42" s="262"/>
      <c r="V42" s="262"/>
      <c r="W42" s="262"/>
      <c r="X42" s="262"/>
      <c r="Y42" s="262"/>
      <c r="Z42" s="262"/>
      <c r="AA42" s="262"/>
      <c r="AB42" s="262"/>
      <c r="AC42" s="262"/>
      <c r="AD42" s="262"/>
      <c r="AE42" s="262"/>
      <c r="AF42" s="262"/>
      <c r="AG42" s="262"/>
      <c r="AH42" s="262"/>
      <c r="AI42" s="262"/>
      <c r="AJ42" s="262"/>
      <c r="AK42" s="262"/>
      <c r="AL42" s="262"/>
      <c r="AM42" s="262"/>
      <c r="AN42" s="262"/>
      <c r="AO42" s="262"/>
      <c r="AP42" s="262"/>
      <c r="AQ42" s="262"/>
      <c r="AR42" s="262"/>
    </row>
    <row r="43" spans="1:44" x14ac:dyDescent="0.35">
      <c r="A43" s="262"/>
      <c r="B43" s="262"/>
      <c r="C43" s="262"/>
      <c r="D43" s="262"/>
      <c r="E43" s="262"/>
      <c r="F43" s="262"/>
      <c r="G43" s="262"/>
      <c r="H43" s="262"/>
      <c r="I43" s="262"/>
      <c r="J43" s="262"/>
      <c r="K43" s="262"/>
      <c r="L43" s="262"/>
      <c r="M43" s="262"/>
      <c r="N43" s="262"/>
      <c r="O43" s="262"/>
      <c r="P43" s="262"/>
      <c r="Q43" s="262"/>
      <c r="R43" s="262"/>
      <c r="S43" s="262"/>
      <c r="T43" s="262"/>
      <c r="U43" s="262"/>
      <c r="V43" s="262"/>
      <c r="W43" s="262"/>
      <c r="X43" s="262"/>
      <c r="Y43" s="262"/>
      <c r="Z43" s="262"/>
      <c r="AA43" s="262"/>
      <c r="AB43" s="262"/>
      <c r="AC43" s="262"/>
      <c r="AD43" s="262"/>
      <c r="AE43" s="262"/>
      <c r="AF43" s="262"/>
      <c r="AG43" s="262"/>
      <c r="AH43" s="262"/>
      <c r="AI43" s="262"/>
      <c r="AJ43" s="262"/>
      <c r="AK43" s="262"/>
      <c r="AL43" s="262"/>
      <c r="AM43" s="262"/>
      <c r="AN43" s="262"/>
      <c r="AO43" s="262"/>
      <c r="AP43" s="262"/>
      <c r="AQ43" s="262"/>
      <c r="AR43" s="262"/>
    </row>
    <row r="44" spans="1:44" x14ac:dyDescent="0.35">
      <c r="A44" s="262"/>
      <c r="B44" s="262"/>
      <c r="C44" s="262"/>
      <c r="D44" s="262"/>
      <c r="E44" s="262"/>
      <c r="F44" s="262"/>
      <c r="G44" s="262"/>
      <c r="H44" s="262"/>
      <c r="I44" s="262"/>
      <c r="J44" s="262"/>
      <c r="K44" s="262"/>
      <c r="L44" s="262"/>
      <c r="M44" s="262"/>
      <c r="N44" s="262"/>
      <c r="O44" s="262"/>
      <c r="P44" s="262"/>
      <c r="Q44" s="262"/>
      <c r="R44" s="262"/>
      <c r="S44" s="262"/>
      <c r="T44" s="262"/>
      <c r="U44" s="262"/>
      <c r="V44" s="262"/>
      <c r="W44" s="262"/>
      <c r="X44" s="262"/>
      <c r="Y44" s="262"/>
      <c r="Z44" s="262"/>
      <c r="AA44" s="262"/>
      <c r="AB44" s="262"/>
      <c r="AC44" s="262"/>
      <c r="AD44" s="262"/>
      <c r="AE44" s="262"/>
      <c r="AF44" s="262"/>
      <c r="AG44" s="262"/>
      <c r="AH44" s="262"/>
      <c r="AI44" s="262"/>
      <c r="AJ44" s="262"/>
      <c r="AK44" s="262"/>
      <c r="AL44" s="262"/>
      <c r="AM44" s="262"/>
      <c r="AN44" s="262"/>
      <c r="AO44" s="262"/>
      <c r="AP44" s="262"/>
      <c r="AQ44" s="262"/>
      <c r="AR44" s="262"/>
    </row>
    <row r="45" spans="1:44" x14ac:dyDescent="0.35">
      <c r="A45" s="262"/>
      <c r="B45" s="262"/>
      <c r="C45" s="262"/>
      <c r="D45" s="262"/>
      <c r="E45" s="262"/>
      <c r="F45" s="262"/>
      <c r="G45" s="262"/>
      <c r="H45" s="262"/>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row>
    <row r="46" spans="1:44" x14ac:dyDescent="0.35">
      <c r="A46" s="262"/>
      <c r="B46" s="262"/>
      <c r="C46" s="262"/>
      <c r="D46" s="262"/>
      <c r="E46" s="262"/>
      <c r="F46" s="262"/>
      <c r="G46" s="262"/>
      <c r="H46" s="262"/>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row>
    <row r="47" spans="1:44" x14ac:dyDescent="0.35">
      <c r="A47" s="262"/>
      <c r="B47" s="262"/>
      <c r="C47" s="262"/>
      <c r="D47" s="262"/>
      <c r="E47" s="262"/>
      <c r="F47" s="262"/>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row>
    <row r="48" spans="1:44" x14ac:dyDescent="0.35">
      <c r="A48" s="262"/>
      <c r="B48" s="262"/>
      <c r="C48" s="262"/>
      <c r="D48" s="262"/>
      <c r="E48" s="262"/>
      <c r="F48" s="262"/>
      <c r="G48" s="262"/>
      <c r="H48" s="262"/>
      <c r="I48" s="262"/>
      <c r="J48" s="262"/>
      <c r="K48" s="262"/>
      <c r="L48" s="262"/>
      <c r="M48" s="262"/>
      <c r="N48" s="262"/>
      <c r="O48" s="262"/>
      <c r="P48" s="262"/>
      <c r="Q48" s="262"/>
      <c r="R48" s="262"/>
      <c r="S48" s="262"/>
      <c r="T48" s="262"/>
      <c r="U48" s="262"/>
      <c r="V48" s="262"/>
      <c r="W48" s="262"/>
      <c r="X48" s="262"/>
      <c r="Y48" s="262"/>
      <c r="Z48" s="262"/>
      <c r="AA48" s="262"/>
      <c r="AB48" s="262"/>
      <c r="AC48" s="262"/>
      <c r="AD48" s="262"/>
      <c r="AE48" s="262"/>
      <c r="AF48" s="262"/>
      <c r="AG48" s="262"/>
      <c r="AH48" s="262"/>
      <c r="AI48" s="262"/>
      <c r="AJ48" s="262"/>
      <c r="AK48" s="262"/>
      <c r="AL48" s="262"/>
      <c r="AM48" s="262"/>
      <c r="AN48" s="262"/>
      <c r="AO48" s="262"/>
      <c r="AP48" s="262"/>
      <c r="AQ48" s="262"/>
      <c r="AR48" s="262"/>
    </row>
    <row r="49" spans="1:44" x14ac:dyDescent="0.35">
      <c r="A49" s="262"/>
      <c r="B49" s="262"/>
      <c r="C49" s="262"/>
      <c r="D49" s="262"/>
      <c r="E49" s="262"/>
      <c r="F49" s="262"/>
      <c r="G49" s="262"/>
      <c r="H49" s="262"/>
      <c r="I49" s="262"/>
      <c r="J49" s="262"/>
      <c r="K49" s="262"/>
      <c r="L49" s="262"/>
      <c r="M49" s="262"/>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262"/>
      <c r="AK49" s="262"/>
      <c r="AL49" s="262"/>
      <c r="AM49" s="262"/>
      <c r="AN49" s="262"/>
      <c r="AO49" s="262"/>
      <c r="AP49" s="262"/>
      <c r="AQ49" s="262"/>
      <c r="AR49" s="262"/>
    </row>
    <row r="51" spans="1:44" x14ac:dyDescent="0.35">
      <c r="A51" s="3"/>
    </row>
  </sheetData>
  <sheetProtection algorithmName="SHA-512" hashValue="IQYi22TFKYnJIu0yeQNuEqCQ7T6VQNcyTxFbfV+dFTMGTi8NM5bQk43ZFnDqCrTFUPg/nPVF+OGQCZWkctppYQ==" saltValue="sXik0FiAP6uEcTFbSeJwsA==" spinCount="100000" sheet="1" objects="1" scenarios="1"/>
  <mergeCells count="6">
    <mergeCell ref="H9:J9"/>
    <mergeCell ref="H4:J4"/>
    <mergeCell ref="H5:J5"/>
    <mergeCell ref="H6:J6"/>
    <mergeCell ref="H7:J7"/>
    <mergeCell ref="H8:J8"/>
  </mergeCells>
  <hyperlinks>
    <hyperlink ref="Q25" r:id="rId1" xr:uid="{EB1820F5-B48F-4107-936B-0EDE5692C800}"/>
    <hyperlink ref="J21" r:id="rId2" xr:uid="{D58079F2-F2BB-46BE-9AC1-11BEBB35D84D}"/>
  </hyperlinks>
  <pageMargins left="0.7" right="0.7" top="0.75" bottom="0.75" header="0.3" footer="0.3"/>
  <pageSetup paperSize="0" orientation="portrait" horizontalDpi="0" verticalDpi="0" copies="0" r:id="rId3"/>
  <ignoredErrors>
    <ignoredError sqref="G4:G9 C19:C22"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X121"/>
  <sheetViews>
    <sheetView zoomScale="75" zoomScaleNormal="75" workbookViewId="0">
      <selection activeCell="J29" sqref="J29"/>
    </sheetView>
  </sheetViews>
  <sheetFormatPr defaultColWidth="9.1796875" defaultRowHeight="14.5" x14ac:dyDescent="0.35"/>
  <cols>
    <col min="1" max="1" width="49.1796875" style="2" customWidth="1"/>
    <col min="2" max="2" width="51.7265625" style="2" customWidth="1"/>
    <col min="3" max="3" width="9.1796875" style="2" customWidth="1"/>
    <col min="4" max="7" width="9.1796875" style="2"/>
    <col min="8" max="8" width="44.1796875" style="2" customWidth="1"/>
    <col min="9" max="9" width="28.7265625" style="2" customWidth="1"/>
    <col min="10" max="16384" width="9.1796875" style="2"/>
  </cols>
  <sheetData>
    <row r="1" spans="1:22" x14ac:dyDescent="0.35">
      <c r="A1" s="2" t="s">
        <v>2</v>
      </c>
      <c r="B1" s="2" t="s">
        <v>3</v>
      </c>
      <c r="C1" s="2" t="s">
        <v>399</v>
      </c>
    </row>
    <row r="2" spans="1:22" x14ac:dyDescent="0.35">
      <c r="A2" s="2" t="s">
        <v>117</v>
      </c>
      <c r="B2" s="2" t="s">
        <v>124</v>
      </c>
      <c r="C2" s="2">
        <v>100</v>
      </c>
      <c r="J2" s="3" t="s">
        <v>188</v>
      </c>
      <c r="K2" s="9"/>
      <c r="L2" s="9"/>
      <c r="M2" s="9"/>
      <c r="N2" s="9"/>
      <c r="O2" s="9"/>
      <c r="P2" s="9"/>
      <c r="Q2" s="9"/>
      <c r="R2" s="9"/>
      <c r="S2" s="9"/>
      <c r="T2" s="9"/>
      <c r="U2" s="9"/>
      <c r="V2" s="9"/>
    </row>
    <row r="3" spans="1:22" x14ac:dyDescent="0.35">
      <c r="A3" s="2" t="s">
        <v>118</v>
      </c>
      <c r="B3" s="2" t="s">
        <v>125</v>
      </c>
      <c r="C3" s="2">
        <v>200</v>
      </c>
      <c r="J3" s="9" t="s">
        <v>195</v>
      </c>
      <c r="K3" s="9"/>
      <c r="L3" s="9"/>
      <c r="M3" s="9"/>
      <c r="N3" s="9"/>
      <c r="O3" s="9">
        <v>4.0000000000000001E-3</v>
      </c>
      <c r="P3" s="9" t="s">
        <v>155</v>
      </c>
      <c r="Q3" s="9"/>
      <c r="R3" s="9" t="s">
        <v>159</v>
      </c>
      <c r="S3" s="9"/>
      <c r="T3" s="9"/>
      <c r="U3" s="9"/>
      <c r="V3" s="9"/>
    </row>
    <row r="4" spans="1:22" x14ac:dyDescent="0.35">
      <c r="A4" s="2" t="s">
        <v>119</v>
      </c>
      <c r="B4" s="2" t="s">
        <v>126</v>
      </c>
      <c r="C4" s="2">
        <v>300</v>
      </c>
      <c r="J4" s="9" t="s">
        <v>190</v>
      </c>
      <c r="K4" s="9"/>
      <c r="L4" s="9"/>
      <c r="M4" s="9"/>
      <c r="N4" s="9"/>
      <c r="O4" s="9" t="e">
        <f>2*PI()*SQRT(Q5/(PI()))*1+2*PI()*((SQRT(Q5/(PI())))^2)</f>
        <v>#REF!</v>
      </c>
      <c r="P4" s="9" t="s">
        <v>196</v>
      </c>
      <c r="Q4" s="9" t="s">
        <v>315</v>
      </c>
      <c r="R4" s="9" t="s">
        <v>165</v>
      </c>
      <c r="S4" s="9"/>
      <c r="T4" s="9">
        <v>370</v>
      </c>
      <c r="U4" s="9" t="s">
        <v>156</v>
      </c>
      <c r="V4" s="9"/>
    </row>
    <row r="5" spans="1:22" x14ac:dyDescent="0.35">
      <c r="A5" s="2" t="s">
        <v>120</v>
      </c>
      <c r="B5" s="2" t="s">
        <v>127</v>
      </c>
      <c r="C5" s="2">
        <v>400</v>
      </c>
      <c r="J5" s="9" t="s">
        <v>189</v>
      </c>
      <c r="O5" s="17" t="e">
        <f>(IF(#REF!='Dati karstais'!A2,0,IF(#REF!='Dati karstais'!A3,0.025,IF(#REF!='Dati karstais'!A4,0.05,IF(#REF!='Dati karstais'!A5,0.075,IF(#REF!='Dati karstais'!A6,0.05,IF(#REF!='Dati karstais'!A7,0.1)))))))</f>
        <v>#REF!</v>
      </c>
      <c r="P5" s="9" t="s">
        <v>155</v>
      </c>
      <c r="Q5" s="2" t="e">
        <f>(#REF!)/1000</f>
        <v>#REF!</v>
      </c>
      <c r="R5" s="9" t="s">
        <v>166</v>
      </c>
      <c r="S5" s="9"/>
      <c r="T5" s="9">
        <v>17</v>
      </c>
      <c r="U5" s="9" t="s">
        <v>156</v>
      </c>
      <c r="V5" s="9"/>
    </row>
    <row r="6" spans="1:22" x14ac:dyDescent="0.35">
      <c r="A6" s="2" t="s">
        <v>121</v>
      </c>
      <c r="B6" s="2" t="s">
        <v>122</v>
      </c>
      <c r="C6" s="2">
        <v>500</v>
      </c>
      <c r="J6" s="9" t="s">
        <v>199</v>
      </c>
      <c r="K6" s="9"/>
      <c r="L6" s="9"/>
      <c r="M6" s="9"/>
      <c r="N6" s="9"/>
      <c r="O6" s="17" t="e">
        <f>(IF(#REF!='Dati karstais'!A2,0.036,IF(#REF!='Dati karstais'!A3,0.027,IF(#REF!='Dati karstais'!A4,0.027,IF(#REF!='Dati karstais'!A5,0.027,IF(#REF!='Dati karstais'!A6,0.036,IF(#REF!='Dati karstais'!A7,0.036)))))))</f>
        <v>#REF!</v>
      </c>
      <c r="P6" s="9" t="s">
        <v>156</v>
      </c>
      <c r="R6" s="9" t="s">
        <v>167</v>
      </c>
      <c r="S6" s="9"/>
      <c r="T6" s="9">
        <v>220</v>
      </c>
      <c r="U6" s="9" t="s">
        <v>156</v>
      </c>
      <c r="V6" s="9"/>
    </row>
    <row r="7" spans="1:22" x14ac:dyDescent="0.35">
      <c r="A7" s="2" t="s">
        <v>122</v>
      </c>
      <c r="B7" s="2" t="s">
        <v>123</v>
      </c>
      <c r="C7" s="2">
        <v>600</v>
      </c>
      <c r="J7" s="9" t="s">
        <v>192</v>
      </c>
      <c r="K7" s="9"/>
      <c r="L7" s="9"/>
      <c r="M7" s="9"/>
      <c r="N7" s="9"/>
      <c r="O7" s="17">
        <v>17</v>
      </c>
      <c r="P7" s="9" t="s">
        <v>156</v>
      </c>
      <c r="Q7" s="9"/>
      <c r="R7" s="9" t="s">
        <v>316</v>
      </c>
    </row>
    <row r="8" spans="1:22" x14ac:dyDescent="0.35">
      <c r="C8" s="2">
        <v>700</v>
      </c>
      <c r="J8" s="9" t="s">
        <v>193</v>
      </c>
      <c r="K8" s="9"/>
      <c r="L8" s="9"/>
      <c r="M8" s="9"/>
      <c r="N8" s="9"/>
      <c r="O8" s="9" t="e">
        <f>1/(0.13+O3/O7+O5/O6)</f>
        <v>#REF!</v>
      </c>
      <c r="P8" s="9" t="s">
        <v>194</v>
      </c>
      <c r="Q8" s="9"/>
      <c r="R8" s="9" t="s">
        <v>317</v>
      </c>
      <c r="S8" s="9"/>
      <c r="T8" s="9"/>
      <c r="U8" s="9"/>
      <c r="V8" s="9"/>
    </row>
    <row r="9" spans="1:22" x14ac:dyDescent="0.35">
      <c r="C9" s="2">
        <v>800</v>
      </c>
      <c r="J9" s="9" t="s">
        <v>197</v>
      </c>
      <c r="O9" s="2" t="e">
        <f>O8*O4</f>
        <v>#REF!</v>
      </c>
      <c r="P9" s="9" t="s">
        <v>198</v>
      </c>
    </row>
    <row r="10" spans="1:22" x14ac:dyDescent="0.35">
      <c r="C10" s="2">
        <v>900</v>
      </c>
      <c r="J10" s="9" t="s">
        <v>163</v>
      </c>
      <c r="K10" s="9"/>
      <c r="L10" s="9"/>
      <c r="M10" s="9"/>
      <c r="N10" s="9"/>
      <c r="O10" s="9" t="e">
        <f>O9*365*24/1000*U19</f>
        <v>#REF!</v>
      </c>
      <c r="P10" s="9" t="s">
        <v>164</v>
      </c>
      <c r="Q10" s="9"/>
    </row>
    <row r="11" spans="1:22" x14ac:dyDescent="0.35">
      <c r="C11" s="2">
        <v>1000</v>
      </c>
      <c r="J11" s="3" t="s">
        <v>191</v>
      </c>
      <c r="K11" s="9"/>
      <c r="L11" s="9"/>
      <c r="M11" s="9"/>
      <c r="N11" s="9"/>
      <c r="O11" s="9"/>
      <c r="P11" s="9"/>
      <c r="Q11" s="9"/>
      <c r="R11" s="9"/>
      <c r="S11" s="9"/>
      <c r="T11" s="9"/>
      <c r="U11" s="9"/>
      <c r="V11" s="9"/>
    </row>
    <row r="12" spans="1:22" x14ac:dyDescent="0.35">
      <c r="J12" s="9" t="s">
        <v>195</v>
      </c>
      <c r="K12" s="9"/>
      <c r="L12" s="9"/>
      <c r="M12" s="9"/>
      <c r="N12" s="9"/>
      <c r="O12" s="9">
        <f>O3</f>
        <v>4.0000000000000001E-3</v>
      </c>
      <c r="P12" s="9" t="s">
        <v>155</v>
      </c>
      <c r="Q12" s="9"/>
      <c r="R12" s="9" t="s">
        <v>159</v>
      </c>
      <c r="S12" s="9"/>
      <c r="T12" s="9"/>
      <c r="U12" s="9"/>
      <c r="V12" s="9"/>
    </row>
    <row r="13" spans="1:22" x14ac:dyDescent="0.35">
      <c r="J13" s="9" t="s">
        <v>190</v>
      </c>
      <c r="K13" s="9"/>
      <c r="L13" s="9"/>
      <c r="M13" s="9"/>
      <c r="N13" s="9"/>
      <c r="O13" s="9" t="e">
        <f>O4</f>
        <v>#REF!</v>
      </c>
      <c r="P13" s="9" t="s">
        <v>196</v>
      </c>
      <c r="Q13" s="9"/>
      <c r="R13" s="9" t="s">
        <v>160</v>
      </c>
      <c r="S13" s="9"/>
      <c r="T13" s="9">
        <v>3.4000000000000002E-2</v>
      </c>
      <c r="U13" s="9" t="s">
        <v>156</v>
      </c>
      <c r="V13" s="9"/>
    </row>
    <row r="14" spans="1:22" x14ac:dyDescent="0.35">
      <c r="J14" s="9" t="s">
        <v>189</v>
      </c>
      <c r="K14" s="9"/>
      <c r="L14" s="9"/>
      <c r="M14" s="9"/>
      <c r="N14" s="9"/>
      <c r="O14" s="17" t="e">
        <f>(IF(#REF!='Dati karstais'!B2,0.025,IF(#REF!='Dati karstais'!B3,0.05,IF(#REF!='Dati karstais'!B4,0.075,IF(#REF!='Dati karstais'!B5,0.1,IF(#REF!='Dati karstais'!B6,0.1,IF(#REF!='Dati karstais'!B7,0.15)))))))</f>
        <v>#REF!</v>
      </c>
      <c r="P14" s="9" t="s">
        <v>155</v>
      </c>
      <c r="Q14" s="9"/>
      <c r="R14" s="9" t="s">
        <v>161</v>
      </c>
      <c r="S14" s="9"/>
      <c r="T14" s="9">
        <v>3.5999999999999997E-2</v>
      </c>
      <c r="U14" s="9" t="s">
        <v>156</v>
      </c>
      <c r="V14" s="9"/>
    </row>
    <row r="15" spans="1:22" x14ac:dyDescent="0.35">
      <c r="J15" s="9" t="s">
        <v>199</v>
      </c>
      <c r="K15" s="9"/>
      <c r="L15" s="9"/>
      <c r="M15" s="9"/>
      <c r="N15" s="9"/>
      <c r="O15" s="17" t="e">
        <f>(IF(#REF!='Dati karstais'!B2,T16,IF(#REF!='Dati karstais'!B3,T16,IF(#REF!='Dati karstais'!B4,T16,IF(#REF!='Dati karstais'!B5,T16,IF(#REF!='Dati karstais'!B6,T14,IF(#REF!='Dati karstais'!B7,T14)))))))</f>
        <v>#REF!</v>
      </c>
      <c r="P15" s="9" t="s">
        <v>156</v>
      </c>
      <c r="Q15" s="9"/>
      <c r="R15" s="9" t="s">
        <v>162</v>
      </c>
      <c r="S15" s="9"/>
      <c r="T15" s="9">
        <v>3.5999999999999997E-2</v>
      </c>
      <c r="U15" s="9" t="s">
        <v>156</v>
      </c>
      <c r="V15" s="9"/>
    </row>
    <row r="16" spans="1:22" x14ac:dyDescent="0.35">
      <c r="J16" s="9" t="s">
        <v>192</v>
      </c>
      <c r="K16" s="9"/>
      <c r="L16" s="9"/>
      <c r="M16" s="9"/>
      <c r="N16" s="9"/>
      <c r="O16" s="17">
        <v>17</v>
      </c>
      <c r="P16" s="9" t="s">
        <v>156</v>
      </c>
      <c r="Q16" s="9"/>
      <c r="R16" s="9" t="s">
        <v>187</v>
      </c>
      <c r="S16" s="9"/>
      <c r="T16" s="9">
        <v>2.7E-2</v>
      </c>
      <c r="U16" s="9" t="s">
        <v>156</v>
      </c>
      <c r="V16" s="9"/>
    </row>
    <row r="17" spans="1:23" x14ac:dyDescent="0.35">
      <c r="J17" s="9" t="s">
        <v>193</v>
      </c>
      <c r="K17" s="9"/>
      <c r="L17" s="9"/>
      <c r="M17" s="9"/>
      <c r="N17" s="9"/>
      <c r="O17" s="9" t="e">
        <f>1/(0.13+O12/O16+O14/O15)</f>
        <v>#REF!</v>
      </c>
      <c r="P17" s="9" t="s">
        <v>194</v>
      </c>
      <c r="Q17" s="9"/>
      <c r="R17" s="9" t="s">
        <v>169</v>
      </c>
      <c r="S17" s="9"/>
      <c r="T17" s="9"/>
      <c r="U17" s="9">
        <f>(55+70)/2</f>
        <v>62.5</v>
      </c>
      <c r="V17" s="9" t="s">
        <v>143</v>
      </c>
      <c r="W17" s="2" t="s">
        <v>406</v>
      </c>
    </row>
    <row r="18" spans="1:23" x14ac:dyDescent="0.35">
      <c r="J18" s="9" t="s">
        <v>197</v>
      </c>
      <c r="O18" s="2" t="e">
        <f>O17*O13</f>
        <v>#REF!</v>
      </c>
      <c r="P18" s="9" t="s">
        <v>198</v>
      </c>
      <c r="R18" s="9" t="s">
        <v>170</v>
      </c>
      <c r="S18" s="9"/>
      <c r="T18" s="9"/>
      <c r="U18" s="9">
        <v>18</v>
      </c>
      <c r="V18" s="9" t="s">
        <v>143</v>
      </c>
      <c r="W18" s="9"/>
    </row>
    <row r="19" spans="1:23" x14ac:dyDescent="0.35">
      <c r="J19" s="9" t="s">
        <v>163</v>
      </c>
      <c r="K19" s="9"/>
      <c r="L19" s="9"/>
      <c r="M19" s="9"/>
      <c r="N19" s="9"/>
      <c r="O19" s="9" t="e">
        <f>O18*365*24/1000*U19</f>
        <v>#REF!</v>
      </c>
      <c r="P19" s="9" t="s">
        <v>209</v>
      </c>
      <c r="Q19" s="9"/>
      <c r="R19" s="9" t="s">
        <v>171</v>
      </c>
      <c r="S19" s="9"/>
      <c r="T19" s="9"/>
      <c r="U19" s="9">
        <f>U17-U18</f>
        <v>44.5</v>
      </c>
      <c r="V19" s="9" t="s">
        <v>143</v>
      </c>
    </row>
    <row r="20" spans="1:23" x14ac:dyDescent="0.35">
      <c r="J20" s="3" t="s">
        <v>168</v>
      </c>
      <c r="K20" s="9"/>
      <c r="L20" s="9"/>
      <c r="M20" s="9"/>
      <c r="N20" s="9"/>
      <c r="O20" s="25" t="e">
        <f>O10-O19</f>
        <v>#REF!</v>
      </c>
      <c r="P20" s="9" t="s">
        <v>209</v>
      </c>
      <c r="Q20" s="9"/>
    </row>
    <row r="22" spans="1:23" x14ac:dyDescent="0.35">
      <c r="A22" s="2" t="s">
        <v>333</v>
      </c>
      <c r="J22" s="2" t="e">
        <f>(IF('Apkure (karstais ūdens) un ēkas'!#REF!='Dati karstais'!B56,A23,IF('Apkure (karstais ūdens) un ēkas'!#REF!='Dati karstais'!B57,A24,IF('Apkure (karstais ūdens) un ēkas'!#REF!='Dati karstais'!B58,A25,IF('Apkure (karstais ūdens) un ēkas'!#REF!='Dati karstais'!B59,A26)))))</f>
        <v>#REF!</v>
      </c>
    </row>
    <row r="23" spans="1:23" x14ac:dyDescent="0.35">
      <c r="A23" s="2">
        <v>2.2000000000000002</v>
      </c>
    </row>
    <row r="24" spans="1:23" x14ac:dyDescent="0.35">
      <c r="A24" s="2">
        <v>2.09</v>
      </c>
    </row>
    <row r="25" spans="1:23" x14ac:dyDescent="0.35">
      <c r="A25" s="2">
        <v>1.98</v>
      </c>
      <c r="P25" s="17"/>
    </row>
    <row r="26" spans="1:23" x14ac:dyDescent="0.35">
      <c r="A26" s="2">
        <v>1.94</v>
      </c>
    </row>
    <row r="28" spans="1:23" x14ac:dyDescent="0.35">
      <c r="A28" s="2" t="s">
        <v>90</v>
      </c>
      <c r="J28" s="2" t="e">
        <f>(IF(#REF!='Dati karstais'!B63,A29,IF(#REF!='Dati karstais'!B64,A30,IF(#REF!='Dati karstais'!B65,A31,IF(#REF!='Dati karstais'!B66,A32)))))</f>
        <v>#REF!</v>
      </c>
    </row>
    <row r="29" spans="1:23" x14ac:dyDescent="0.35">
      <c r="A29" s="2">
        <v>3.3</v>
      </c>
      <c r="P29" s="17"/>
    </row>
    <row r="30" spans="1:23" x14ac:dyDescent="0.35">
      <c r="A30" s="2">
        <v>3.1349999999999998</v>
      </c>
      <c r="P30" s="17"/>
    </row>
    <row r="31" spans="1:23" x14ac:dyDescent="0.35">
      <c r="A31" s="2">
        <v>2.97</v>
      </c>
    </row>
    <row r="32" spans="1:23" x14ac:dyDescent="0.35">
      <c r="A32" s="2">
        <v>2.91</v>
      </c>
      <c r="P32" s="39"/>
    </row>
    <row r="34" spans="1:23" x14ac:dyDescent="0.35">
      <c r="A34" s="2" t="s">
        <v>144</v>
      </c>
      <c r="B34" s="2" t="s">
        <v>145</v>
      </c>
      <c r="C34" s="2" t="s">
        <v>179</v>
      </c>
      <c r="J34" s="3" t="s">
        <v>2</v>
      </c>
      <c r="K34" s="9"/>
      <c r="L34" s="9"/>
      <c r="M34" s="9"/>
      <c r="N34" s="9"/>
      <c r="O34" s="9"/>
      <c r="P34" s="9"/>
      <c r="Q34" s="9"/>
      <c r="R34" s="9"/>
      <c r="S34" s="9"/>
      <c r="T34" s="9"/>
      <c r="U34" s="9"/>
      <c r="V34" s="9"/>
      <c r="W34" s="9"/>
    </row>
    <row r="35" spans="1:23" x14ac:dyDescent="0.35">
      <c r="A35" s="2" t="s">
        <v>400</v>
      </c>
      <c r="B35" s="2" t="s">
        <v>146</v>
      </c>
      <c r="C35" s="2" t="s">
        <v>84</v>
      </c>
      <c r="J35" s="9" t="s">
        <v>151</v>
      </c>
      <c r="K35" s="9"/>
      <c r="L35" s="9"/>
      <c r="M35" s="9"/>
      <c r="N35" s="9"/>
      <c r="O35" s="9">
        <v>1.4E-2</v>
      </c>
      <c r="P35" s="9" t="s">
        <v>155</v>
      </c>
      <c r="Q35" s="9"/>
      <c r="R35" s="9" t="s">
        <v>159</v>
      </c>
      <c r="S35" s="9"/>
      <c r="T35" s="9"/>
      <c r="U35" s="9"/>
      <c r="V35" s="9"/>
      <c r="W35" s="9"/>
    </row>
    <row r="36" spans="1:23" x14ac:dyDescent="0.35">
      <c r="A36" s="2" t="s">
        <v>401</v>
      </c>
      <c r="B36" s="2" t="s">
        <v>149</v>
      </c>
      <c r="C36" s="2" t="s">
        <v>396</v>
      </c>
      <c r="J36" s="9" t="s">
        <v>152</v>
      </c>
      <c r="K36" s="9"/>
      <c r="L36" s="9"/>
      <c r="M36" s="9"/>
      <c r="N36" s="9"/>
      <c r="O36" s="9">
        <v>1.4999999999999999E-2</v>
      </c>
      <c r="P36" s="9" t="s">
        <v>155</v>
      </c>
      <c r="Q36" s="9"/>
      <c r="R36" s="9" t="s">
        <v>165</v>
      </c>
      <c r="S36" s="9"/>
      <c r="T36" s="9">
        <v>370</v>
      </c>
      <c r="U36" s="9" t="s">
        <v>156</v>
      </c>
      <c r="V36" s="9"/>
      <c r="W36" s="9"/>
    </row>
    <row r="37" spans="1:23" x14ac:dyDescent="0.35">
      <c r="B37" s="2" t="s">
        <v>147</v>
      </c>
      <c r="J37" s="9" t="s">
        <v>153</v>
      </c>
      <c r="K37" s="9"/>
      <c r="L37" s="9"/>
      <c r="M37" s="9"/>
      <c r="N37" s="9"/>
      <c r="O37" s="17" t="e">
        <f>(IF(#REF!='Dati karstais'!C34,T36,IF(#REF!='Dati karstais'!C35,T37,IF(#REF!='Dati karstais'!C36,T39))))</f>
        <v>#REF!</v>
      </c>
      <c r="P37" s="9" t="s">
        <v>156</v>
      </c>
      <c r="Q37" s="9"/>
      <c r="R37" s="9" t="s">
        <v>166</v>
      </c>
      <c r="S37" s="9"/>
      <c r="T37" s="9">
        <v>17</v>
      </c>
      <c r="U37" s="9" t="s">
        <v>156</v>
      </c>
      <c r="V37" s="9"/>
      <c r="W37" s="9"/>
    </row>
    <row r="38" spans="1:23" x14ac:dyDescent="0.35">
      <c r="B38" s="2" t="s">
        <v>148</v>
      </c>
      <c r="J38" s="9" t="s">
        <v>154</v>
      </c>
      <c r="K38" s="9"/>
      <c r="L38" s="9"/>
      <c r="M38" s="9"/>
      <c r="N38" s="9"/>
      <c r="O38" s="9" t="e">
        <f>(IF(#REF!='Dati karstais'!A34,0.036,IF(#REF!='Dati karstais'!A35,0.036,IF(#REF!='Dati karstais'!A36,0.036))))</f>
        <v>#REF!</v>
      </c>
      <c r="P38" s="9" t="s">
        <v>156</v>
      </c>
      <c r="Q38" s="9"/>
      <c r="R38" s="9" t="s">
        <v>167</v>
      </c>
      <c r="S38" s="9"/>
      <c r="T38" s="9">
        <v>220</v>
      </c>
      <c r="U38" s="9" t="s">
        <v>156</v>
      </c>
      <c r="V38" s="9"/>
      <c r="W38" s="9"/>
    </row>
    <row r="39" spans="1:23" x14ac:dyDescent="0.35">
      <c r="B39" s="2" t="s">
        <v>150</v>
      </c>
      <c r="J39" s="9" t="s">
        <v>158</v>
      </c>
      <c r="K39" s="9"/>
      <c r="L39" s="9"/>
      <c r="M39" s="9"/>
      <c r="N39" s="9"/>
      <c r="O39" s="17" t="e">
        <f>(IF(#REF!='Dati karstais'!A34,0,IF(#REF!='Dati karstais'!A35,0.02,IF(#REF!='Dati karstais'!A36,0.04))))</f>
        <v>#REF!</v>
      </c>
      <c r="P39" s="9" t="s">
        <v>155</v>
      </c>
      <c r="Q39" s="9"/>
      <c r="R39" s="9" t="s">
        <v>319</v>
      </c>
      <c r="S39" s="9"/>
      <c r="T39" s="9">
        <v>0.22</v>
      </c>
      <c r="U39" s="9" t="s">
        <v>156</v>
      </c>
      <c r="V39" s="9"/>
      <c r="W39" s="9"/>
    </row>
    <row r="40" spans="1:23" x14ac:dyDescent="0.35">
      <c r="B40" s="2" t="s">
        <v>173</v>
      </c>
      <c r="J40" s="9" t="s">
        <v>157</v>
      </c>
      <c r="K40" s="9"/>
      <c r="L40" s="9"/>
      <c r="M40" s="9"/>
      <c r="N40" s="9"/>
      <c r="O40" s="9" t="e">
        <f>1/((1/(3000*PI()*O35))+(LN(O36/O35)/(2*PI()*O37))+(LN((O36+2*O39)/O36)/(2*PI()*O38))+(1/(15*PI()*(O36+2*O39))))</f>
        <v>#REF!</v>
      </c>
      <c r="P40" s="9" t="s">
        <v>172</v>
      </c>
    </row>
    <row r="41" spans="1:23" x14ac:dyDescent="0.35">
      <c r="B41" s="2" t="s">
        <v>174</v>
      </c>
      <c r="J41" s="9" t="s">
        <v>163</v>
      </c>
      <c r="K41" s="9"/>
      <c r="L41" s="9"/>
      <c r="M41" s="9"/>
      <c r="N41" s="9"/>
      <c r="O41" s="9" t="e">
        <f>O40*365*24/1000*U50</f>
        <v>#REF!</v>
      </c>
      <c r="P41" s="9" t="s">
        <v>164</v>
      </c>
    </row>
    <row r="42" spans="1:23" x14ac:dyDescent="0.35">
      <c r="B42" s="2" t="s">
        <v>175</v>
      </c>
      <c r="J42" s="3" t="s">
        <v>3</v>
      </c>
      <c r="K42" s="9"/>
      <c r="L42" s="9"/>
      <c r="M42" s="9"/>
      <c r="N42" s="9"/>
      <c r="O42" s="9"/>
      <c r="P42" s="9"/>
      <c r="Q42" s="9"/>
      <c r="R42" s="9"/>
      <c r="S42" s="9"/>
      <c r="T42" s="9"/>
      <c r="U42" s="9"/>
      <c r="V42" s="9"/>
      <c r="W42" s="9"/>
    </row>
    <row r="43" spans="1:23" x14ac:dyDescent="0.35">
      <c r="B43" s="2" t="s">
        <v>176</v>
      </c>
      <c r="J43" s="9" t="s">
        <v>151</v>
      </c>
      <c r="K43" s="9"/>
      <c r="L43" s="9"/>
      <c r="M43" s="9"/>
      <c r="N43" s="9"/>
      <c r="O43" s="9">
        <v>1.4E-2</v>
      </c>
      <c r="P43" s="9" t="s">
        <v>155</v>
      </c>
      <c r="Q43" s="9"/>
      <c r="R43" s="9" t="s">
        <v>159</v>
      </c>
      <c r="S43" s="9"/>
      <c r="T43" s="9"/>
      <c r="U43" s="9"/>
      <c r="V43" s="9"/>
      <c r="W43" s="9"/>
    </row>
    <row r="44" spans="1:23" x14ac:dyDescent="0.35">
      <c r="B44" s="2" t="s">
        <v>177</v>
      </c>
      <c r="J44" s="9" t="s">
        <v>152</v>
      </c>
      <c r="K44" s="9"/>
      <c r="L44" s="9"/>
      <c r="M44" s="9"/>
      <c r="N44" s="9"/>
      <c r="O44" s="9">
        <v>1.4999999999999999E-2</v>
      </c>
      <c r="P44" s="9" t="s">
        <v>155</v>
      </c>
      <c r="Q44" s="9"/>
      <c r="R44" s="9" t="s">
        <v>160</v>
      </c>
      <c r="S44" s="9"/>
      <c r="T44" s="9">
        <v>3.4000000000000002E-2</v>
      </c>
      <c r="U44" s="9" t="s">
        <v>156</v>
      </c>
      <c r="V44" s="9"/>
      <c r="W44" s="9"/>
    </row>
    <row r="45" spans="1:23" x14ac:dyDescent="0.35">
      <c r="B45" s="2" t="s">
        <v>178</v>
      </c>
      <c r="J45" s="9" t="s">
        <v>153</v>
      </c>
      <c r="K45" s="9"/>
      <c r="L45" s="9"/>
      <c r="M45" s="9"/>
      <c r="N45" s="9"/>
      <c r="O45" s="17" t="e">
        <f>(IF(#REF!='Dati karstais'!C34,370,IF(#REF!='Dati karstais'!C35,17,IF(#REF!='Dati karstais'!C36,0.22))))</f>
        <v>#REF!</v>
      </c>
      <c r="P45" s="9" t="s">
        <v>156</v>
      </c>
      <c r="Q45" s="9"/>
      <c r="R45" s="9" t="s">
        <v>161</v>
      </c>
      <c r="S45" s="9"/>
      <c r="T45" s="9">
        <v>3.5999999999999997E-2</v>
      </c>
      <c r="U45" s="9" t="s">
        <v>156</v>
      </c>
      <c r="V45" s="9"/>
      <c r="W45" s="9"/>
    </row>
    <row r="46" spans="1:23" x14ac:dyDescent="0.35">
      <c r="B46" s="2" t="s">
        <v>180</v>
      </c>
      <c r="J46" s="9" t="s">
        <v>154</v>
      </c>
      <c r="K46" s="9"/>
      <c r="L46" s="9"/>
      <c r="M46" s="9"/>
      <c r="N46" s="9"/>
      <c r="O46" s="9" t="e">
        <f>(IF(#REF!='Dati karstais'!B34,0.034,IF(#REF!='Dati karstais'!B35,0.034,IF(#REF!='Dati karstais'!B36,0.034,IF(#REF!='Dati karstais'!B37,0.034,IF(#REF!='Dati karstais'!B38,0.034,IF(#REF!='Dati karstais'!B39,0.034,IF(#REF!='Dati karstais'!B40,0.036,IF(#REF!='Dati karstais'!B41,0.036,IF(#REF!='Dati karstais'!B42,0.036,IF(#REF!='Dati karstais'!B43,0.036,IF(#REF!='Dati karstais'!B44,0.036,IF(#REF!='Dati karstais'!B45,0.036,IF(#REF!='Dati karstais'!B46,0.027,IF(#REF!='Dati karstais'!B47,0.027,IF(#REF!='Dati karstais'!B48,0.027,IF(#REF!='Dati karstais'!B49,0.027,IF(#REF!='Dati karstais'!B50,0.027,IF(#REF!='Dati karstais'!B51,0.027,IF(#REF!='Dati karstais'!B52,0.027))))))))))))))))))))</f>
        <v>#REF!</v>
      </c>
      <c r="P46" s="9" t="s">
        <v>156</v>
      </c>
      <c r="Q46" s="9"/>
      <c r="R46" s="9" t="s">
        <v>162</v>
      </c>
      <c r="S46" s="9"/>
      <c r="T46" s="9">
        <v>3.5999999999999997E-2</v>
      </c>
      <c r="U46" s="9" t="s">
        <v>156</v>
      </c>
      <c r="V46" s="9"/>
      <c r="W46" s="9"/>
    </row>
    <row r="47" spans="1:23" x14ac:dyDescent="0.35">
      <c r="B47" s="2" t="s">
        <v>181</v>
      </c>
      <c r="J47" s="9" t="s">
        <v>158</v>
      </c>
      <c r="K47" s="9"/>
      <c r="L47" s="9"/>
      <c r="M47" s="9"/>
      <c r="N47" s="9"/>
      <c r="O47" s="17" t="e">
        <f>(IF(#REF!='Dati karstais'!B34,0.009,IF(#REF!='Dati karstais'!B35,0.013,IF(#REF!='Dati karstais'!B36,0.019,IF(#REF!='Dati karstais'!B37,0.025,IF(#REF!='Dati karstais'!B38,0.032,IF(#REF!='Dati karstais'!B39,0.02,IF(#REF!='Dati karstais'!B40,0.03,IF(#REF!='Dati karstais'!B41,0.04,IF(#REF!='Dati karstais'!B42,0.05,IF(#REF!='Dati karstais'!B43,0.06,IF(#REF!='Dati karstais'!B44,0.07,IF(#REF!='Dati karstais'!B45,0.08,IF(#REF!='Dati karstais'!B46,0.02,IF(#REF!='Dati karstais'!B47,0.03,IF(#REF!='Dati karstais'!B48,0.04,IF(#REF!='Dati karstais'!B49,0.05,IF(#REF!='Dati karstais'!B50,0.06,IF(#REF!='Dati karstais'!B51,0.07,IF(#REF!='Dati karstais'!B52,0.08))))))))))))))))))))</f>
        <v>#REF!</v>
      </c>
      <c r="P47" s="9" t="s">
        <v>155</v>
      </c>
      <c r="Q47" s="9"/>
      <c r="R47" s="9" t="s">
        <v>187</v>
      </c>
      <c r="S47" s="9"/>
      <c r="T47" s="9">
        <v>2.7E-2</v>
      </c>
      <c r="U47" s="9" t="s">
        <v>156</v>
      </c>
      <c r="V47" s="9"/>
      <c r="W47" s="9"/>
    </row>
    <row r="48" spans="1:23" x14ac:dyDescent="0.35">
      <c r="B48" s="2" t="s">
        <v>182</v>
      </c>
      <c r="J48" s="9" t="s">
        <v>157</v>
      </c>
      <c r="K48" s="9"/>
      <c r="L48" s="9"/>
      <c r="M48" s="9"/>
      <c r="N48" s="9"/>
      <c r="O48" s="9" t="e">
        <f>1/((1/(3000*PI()*O43))+(LN(O44/O43)/(2*PI()*O45))+(LN((O44+2*O47)/O44)/(2*PI()*O46))+(1/(15*PI()*(O44+2*O47))))</f>
        <v>#REF!</v>
      </c>
      <c r="P48" s="9" t="s">
        <v>172</v>
      </c>
      <c r="Q48" s="9"/>
      <c r="R48" s="9" t="s">
        <v>169</v>
      </c>
      <c r="S48" s="9"/>
      <c r="T48" s="9"/>
      <c r="U48" s="9">
        <f>(70+55)/2</f>
        <v>62.5</v>
      </c>
      <c r="V48" s="9" t="s">
        <v>143</v>
      </c>
      <c r="W48" s="9"/>
    </row>
    <row r="49" spans="1:24" x14ac:dyDescent="0.35">
      <c r="B49" s="2" t="s">
        <v>183</v>
      </c>
      <c r="J49" s="9" t="s">
        <v>163</v>
      </c>
      <c r="K49" s="9"/>
      <c r="L49" s="9"/>
      <c r="M49" s="9"/>
      <c r="N49" s="9"/>
      <c r="O49" s="9" t="e">
        <f>O48*365*24/1000*U50</f>
        <v>#REF!</v>
      </c>
      <c r="P49" s="9" t="s">
        <v>164</v>
      </c>
      <c r="Q49" s="9"/>
      <c r="R49" s="9" t="s">
        <v>170</v>
      </c>
      <c r="S49" s="9"/>
      <c r="T49" s="9"/>
      <c r="U49" s="9">
        <v>18</v>
      </c>
      <c r="V49" s="9" t="s">
        <v>143</v>
      </c>
      <c r="W49" s="9" t="s">
        <v>318</v>
      </c>
      <c r="X49" s="9"/>
    </row>
    <row r="50" spans="1:24" x14ac:dyDescent="0.35">
      <c r="B50" s="2" t="s">
        <v>184</v>
      </c>
      <c r="J50" s="3" t="s">
        <v>168</v>
      </c>
      <c r="K50" s="9"/>
      <c r="L50" s="9"/>
      <c r="M50" s="9"/>
      <c r="N50" s="9"/>
      <c r="O50" s="25" t="e">
        <f>O41-O49</f>
        <v>#REF!</v>
      </c>
      <c r="P50" s="9" t="s">
        <v>164</v>
      </c>
      <c r="Q50" s="9"/>
      <c r="R50" s="9" t="s">
        <v>171</v>
      </c>
      <c r="S50" s="9"/>
      <c r="T50" s="9"/>
      <c r="U50" s="9">
        <f>U48-U49</f>
        <v>44.5</v>
      </c>
      <c r="V50" s="9" t="s">
        <v>143</v>
      </c>
      <c r="W50" s="9" t="s">
        <v>277</v>
      </c>
      <c r="X50" s="9"/>
    </row>
    <row r="51" spans="1:24" x14ac:dyDescent="0.35">
      <c r="B51" s="2" t="s">
        <v>185</v>
      </c>
    </row>
    <row r="52" spans="1:24" x14ac:dyDescent="0.35">
      <c r="B52" s="2" t="s">
        <v>186</v>
      </c>
    </row>
    <row r="55" spans="1:24" x14ac:dyDescent="0.35">
      <c r="A55" s="2" t="s">
        <v>87</v>
      </c>
      <c r="J55" s="2" t="e">
        <f>(IF(#REF!='Dati karstais'!B56,A56,IF(#REF!='Dati karstais'!B57,A57,IF(#REF!='Dati karstais'!B58,A58,IF(#REF!='Dati karstais'!B59,A59)))))</f>
        <v>#REF!</v>
      </c>
    </row>
    <row r="56" spans="1:24" x14ac:dyDescent="0.35">
      <c r="A56" s="2">
        <v>4.399</v>
      </c>
      <c r="B56" s="2" t="s">
        <v>95</v>
      </c>
    </row>
    <row r="57" spans="1:24" x14ac:dyDescent="0.35">
      <c r="A57" s="2">
        <v>4.18</v>
      </c>
      <c r="B57" s="2" t="s">
        <v>109</v>
      </c>
    </row>
    <row r="58" spans="1:24" x14ac:dyDescent="0.35">
      <c r="A58" s="2">
        <v>3.96</v>
      </c>
      <c r="B58" s="2" t="s">
        <v>110</v>
      </c>
    </row>
    <row r="59" spans="1:24" x14ac:dyDescent="0.35">
      <c r="A59" s="2">
        <v>3.88</v>
      </c>
      <c r="B59" s="2" t="s">
        <v>111</v>
      </c>
    </row>
    <row r="62" spans="1:24" x14ac:dyDescent="0.35">
      <c r="A62" s="2" t="s">
        <v>88</v>
      </c>
      <c r="J62" s="2" t="e">
        <f>(IF(#REF!='Dati karstais'!B56,A63,IF(#REF!='Dati karstais'!B57,A64,IF(#REF!='Dati karstais'!B58,A65,IF(#REF!='Dati karstais'!B59,A66)))))</f>
        <v>#REF!</v>
      </c>
    </row>
    <row r="63" spans="1:24" x14ac:dyDescent="0.35">
      <c r="A63" s="2">
        <v>1.1000000000000001</v>
      </c>
      <c r="B63" s="2" t="s">
        <v>95</v>
      </c>
    </row>
    <row r="64" spans="1:24" x14ac:dyDescent="0.35">
      <c r="A64" s="2">
        <v>1.0449999999999999</v>
      </c>
      <c r="B64" s="2" t="s">
        <v>109</v>
      </c>
    </row>
    <row r="65" spans="1:10" x14ac:dyDescent="0.35">
      <c r="A65" s="2">
        <v>0.99</v>
      </c>
      <c r="B65" s="2" t="s">
        <v>110</v>
      </c>
    </row>
    <row r="66" spans="1:10" x14ac:dyDescent="0.35">
      <c r="A66" s="2">
        <v>0.97</v>
      </c>
      <c r="B66" s="2" t="s">
        <v>111</v>
      </c>
    </row>
    <row r="68" spans="1:10" x14ac:dyDescent="0.35">
      <c r="A68" s="2" t="s">
        <v>100</v>
      </c>
      <c r="J68" s="2" t="e">
        <f>(IF(#REF!='Dati karstais'!B63,A69,IF(#REF!='Dati karstais'!B64,A70,IF(#REF!='Dati karstais'!B65,A71,IF(#REF!='Dati karstais'!B66,A72)))))</f>
        <v>#REF!</v>
      </c>
    </row>
    <row r="69" spans="1:10" x14ac:dyDescent="0.35">
      <c r="A69" s="2">
        <v>4.399</v>
      </c>
      <c r="B69" s="33" t="s">
        <v>86</v>
      </c>
    </row>
    <row r="70" spans="1:10" x14ac:dyDescent="0.35">
      <c r="A70" s="2">
        <v>4.18</v>
      </c>
    </row>
    <row r="71" spans="1:10" x14ac:dyDescent="0.35">
      <c r="A71" s="2">
        <v>3.96</v>
      </c>
    </row>
    <row r="72" spans="1:10" x14ac:dyDescent="0.35">
      <c r="A72" s="2">
        <v>3.88</v>
      </c>
      <c r="B72" s="33" t="s">
        <v>86</v>
      </c>
    </row>
    <row r="73" spans="1:10" x14ac:dyDescent="0.35">
      <c r="A73" s="2">
        <v>6.5990000000000002</v>
      </c>
      <c r="B73" s="33" t="s">
        <v>85</v>
      </c>
      <c r="J73" s="2" t="e">
        <f>(IF(#REF!='Dati karstais'!B63,A73,IF(#REF!='Dati karstais'!B64,A74,IF(#REF!='Dati karstais'!B65,A75,IF(#REF!='Dati karstais'!B66,A76)))))</f>
        <v>#REF!</v>
      </c>
    </row>
    <row r="74" spans="1:10" x14ac:dyDescent="0.35">
      <c r="A74" s="2">
        <v>6.27</v>
      </c>
    </row>
    <row r="75" spans="1:10" x14ac:dyDescent="0.35">
      <c r="A75" s="2">
        <v>5.94</v>
      </c>
    </row>
    <row r="76" spans="1:10" x14ac:dyDescent="0.35">
      <c r="A76" s="2">
        <v>5.82</v>
      </c>
    </row>
    <row r="78" spans="1:10" x14ac:dyDescent="0.35">
      <c r="A78" s="2" t="s">
        <v>89</v>
      </c>
      <c r="J78" s="2" t="e">
        <f>(IF(#REF!='Dati karstais'!B63,A79,IF(#REF!='Dati karstais'!B64,A80,IF(#REF!='Dati karstais'!B65,A81,IF(#REF!='Dati karstais'!B66,A82)))))</f>
        <v>#REF!</v>
      </c>
    </row>
    <row r="79" spans="1:10" x14ac:dyDescent="0.35">
      <c r="A79" s="2">
        <v>0.44</v>
      </c>
    </row>
    <row r="80" spans="1:10" x14ac:dyDescent="0.35">
      <c r="A80" s="2">
        <v>0.41799999999999998</v>
      </c>
    </row>
    <row r="81" spans="1:10" x14ac:dyDescent="0.35">
      <c r="A81" s="2">
        <v>0.39600000000000002</v>
      </c>
    </row>
    <row r="82" spans="1:10" x14ac:dyDescent="0.35">
      <c r="A82" s="2">
        <v>0.38800000000000001</v>
      </c>
    </row>
    <row r="84" spans="1:10" x14ac:dyDescent="0.35">
      <c r="A84" s="2" t="s">
        <v>332</v>
      </c>
      <c r="J84" s="2" t="e">
        <f>(IF(#REF!='Dati karstais'!B56,A85,IF(#REF!='Dati karstais'!B57,A86,IF(#REF!='Dati karstais'!B58,A87,IF(#REF!='Dati karstais'!B59,A88)))))</f>
        <v>#REF!</v>
      </c>
    </row>
    <row r="85" spans="1:10" x14ac:dyDescent="0.35">
      <c r="A85" s="2">
        <v>0.66</v>
      </c>
    </row>
    <row r="86" spans="1:10" x14ac:dyDescent="0.35">
      <c r="A86" s="2">
        <v>0.627</v>
      </c>
    </row>
    <row r="87" spans="1:10" x14ac:dyDescent="0.35">
      <c r="A87" s="2">
        <v>0.59399999999999997</v>
      </c>
    </row>
    <row r="88" spans="1:10" x14ac:dyDescent="0.35">
      <c r="A88" s="2">
        <v>0.58199999999999996</v>
      </c>
    </row>
    <row r="90" spans="1:10" x14ac:dyDescent="0.35">
      <c r="A90" s="2" t="s">
        <v>334</v>
      </c>
      <c r="J90" s="2" t="e">
        <f>(IF(#REF!='Dati karstais'!B56,A91,IF(#REF!='Dati karstais'!B57,A92,IF(#REF!='Dati karstais'!B58,A93,IF(#REF!='Dati karstais'!B59,A94)))))</f>
        <v>#REF!</v>
      </c>
    </row>
    <row r="91" spans="1:10" x14ac:dyDescent="0.35">
      <c r="A91" s="2">
        <v>0.44</v>
      </c>
    </row>
    <row r="92" spans="1:10" x14ac:dyDescent="0.35">
      <c r="A92" s="2">
        <v>0.41799999999999998</v>
      </c>
    </row>
    <row r="93" spans="1:10" x14ac:dyDescent="0.35">
      <c r="A93" s="2">
        <v>0.39600000000000002</v>
      </c>
    </row>
    <row r="94" spans="1:10" x14ac:dyDescent="0.35">
      <c r="A94" s="2">
        <v>0.38800000000000001</v>
      </c>
    </row>
    <row r="96" spans="1:10" x14ac:dyDescent="0.35">
      <c r="A96" s="2" t="s">
        <v>91</v>
      </c>
      <c r="J96" s="2" t="e">
        <f>(IF(#REF!='Dati karstais'!B63,A97,IF(#REF!='Dati karstais'!B64,A98,IF(#REF!='Dati karstais'!B65,A99,IF(#REF!='Dati karstais'!B66,A100)))))</f>
        <v>#REF!</v>
      </c>
    </row>
    <row r="97" spans="1:10" x14ac:dyDescent="0.35">
      <c r="A97" s="2">
        <v>2.2000000000000002</v>
      </c>
    </row>
    <row r="98" spans="1:10" x14ac:dyDescent="0.35">
      <c r="A98" s="2">
        <v>2.09</v>
      </c>
    </row>
    <row r="99" spans="1:10" x14ac:dyDescent="0.35">
      <c r="A99" s="2">
        <v>1.98</v>
      </c>
    </row>
    <row r="100" spans="1:10" x14ac:dyDescent="0.35">
      <c r="A100" s="2">
        <v>1.94</v>
      </c>
    </row>
    <row r="102" spans="1:10" x14ac:dyDescent="0.35">
      <c r="A102" s="2" t="s">
        <v>92</v>
      </c>
      <c r="J102" s="2" t="e">
        <f>(IF('Apkure (karstais ūdens) un ēkas'!#REF!='Dati karstais'!B63,A103,IF('Apkure (karstais ūdens) un ēkas'!#REF!='Dati karstais'!B64,A104,IF('Apkure (karstais ūdens) un ēkas'!#REF!='Dati karstais'!B65,A105,IF('Apkure (karstais ūdens) un ēkas'!#REF!='Dati karstais'!B66,A106)))))</f>
        <v>#REF!</v>
      </c>
    </row>
    <row r="103" spans="1:10" x14ac:dyDescent="0.35">
      <c r="A103" s="2">
        <v>1.1000000000000001</v>
      </c>
    </row>
    <row r="104" spans="1:10" x14ac:dyDescent="0.35">
      <c r="A104" s="2">
        <v>1.0449999999999999</v>
      </c>
    </row>
    <row r="105" spans="1:10" x14ac:dyDescent="0.35">
      <c r="A105" s="2">
        <v>0.99</v>
      </c>
    </row>
    <row r="106" spans="1:10" x14ac:dyDescent="0.35">
      <c r="A106" s="2">
        <v>0.97</v>
      </c>
    </row>
    <row r="108" spans="1:10" x14ac:dyDescent="0.35">
      <c r="A108" s="2" t="s">
        <v>94</v>
      </c>
      <c r="J108" s="2" t="e">
        <f>(IF('Apkure (karstais ūdens) un ēkas'!#REF!='Dati karstais'!B63,A109,IF('Apkure (karstais ūdens) un ēkas'!#REF!='Dati karstais'!B64,A110,IF('Apkure (karstais ūdens) un ēkas'!#REF!='Dati karstais'!B65,A111,IF('Apkure (karstais ūdens) un ēkas'!#REF!='Dati karstais'!B66,A112)))))</f>
        <v>#REF!</v>
      </c>
    </row>
    <row r="109" spans="1:10" x14ac:dyDescent="0.35">
      <c r="A109" s="2">
        <v>3.3</v>
      </c>
    </row>
    <row r="110" spans="1:10" x14ac:dyDescent="0.35">
      <c r="A110" s="2">
        <v>3.1349999999999998</v>
      </c>
    </row>
    <row r="111" spans="1:10" x14ac:dyDescent="0.35">
      <c r="A111" s="2">
        <v>2.97</v>
      </c>
    </row>
    <row r="112" spans="1:10" x14ac:dyDescent="0.35">
      <c r="A112" s="2">
        <v>2.91</v>
      </c>
    </row>
    <row r="113" spans="1:10" x14ac:dyDescent="0.35">
      <c r="A113" s="21"/>
      <c r="B113" s="21"/>
      <c r="C113" s="21"/>
      <c r="D113" s="21"/>
      <c r="E113" s="21"/>
      <c r="F113" s="21"/>
      <c r="G113" s="21"/>
      <c r="H113" s="21"/>
      <c r="I113" s="21"/>
      <c r="J113" s="21"/>
    </row>
    <row r="114" spans="1:10" x14ac:dyDescent="0.35">
      <c r="A114" s="21" t="s">
        <v>93</v>
      </c>
      <c r="B114" s="40"/>
      <c r="C114" s="21"/>
      <c r="D114" s="21"/>
      <c r="E114" s="21"/>
      <c r="F114" s="21"/>
      <c r="G114" s="21"/>
      <c r="H114" s="21"/>
      <c r="I114" s="21"/>
      <c r="J114" s="2" t="e">
        <f>(IF('Apkure (karstais ūdens) un ēkas'!#REF!='Dati karstais'!B63,A115,IF('Apkure (karstais ūdens) un ēkas'!#REF!='Dati karstais'!B64,A116,IF('Apkure (karstais ūdens) un ēkas'!#REF!='Dati karstais'!B65,A117,IF('Apkure (karstais ūdens) un ēkas'!#REF!='Dati karstais'!B66,A118)))))</f>
        <v>#REF!</v>
      </c>
    </row>
    <row r="115" spans="1:10" x14ac:dyDescent="0.35">
      <c r="A115" s="21">
        <v>2.1997</v>
      </c>
      <c r="B115" s="21"/>
      <c r="C115" s="21"/>
      <c r="D115" s="21"/>
      <c r="E115" s="21"/>
      <c r="F115" s="21"/>
      <c r="G115" s="21"/>
      <c r="H115" s="21"/>
      <c r="I115" s="21"/>
      <c r="J115" s="21"/>
    </row>
    <row r="116" spans="1:10" x14ac:dyDescent="0.35">
      <c r="A116" s="21">
        <v>2.09</v>
      </c>
      <c r="B116" s="21"/>
      <c r="C116" s="21"/>
      <c r="D116" s="21"/>
      <c r="E116" s="21"/>
      <c r="F116" s="21"/>
      <c r="G116" s="21"/>
      <c r="H116" s="21"/>
      <c r="I116" s="21"/>
      <c r="J116" s="21"/>
    </row>
    <row r="117" spans="1:10" x14ac:dyDescent="0.35">
      <c r="A117" s="21">
        <v>1.98</v>
      </c>
      <c r="B117" s="21"/>
      <c r="C117" s="21"/>
      <c r="D117" s="21"/>
      <c r="E117" s="21"/>
      <c r="F117" s="21"/>
      <c r="G117" s="21"/>
      <c r="H117" s="21"/>
      <c r="I117" s="21"/>
      <c r="J117" s="21"/>
    </row>
    <row r="118" spans="1:10" x14ac:dyDescent="0.35">
      <c r="A118" s="21">
        <v>1.94</v>
      </c>
      <c r="B118" s="40"/>
      <c r="C118" s="21"/>
      <c r="D118" s="21"/>
      <c r="E118" s="21"/>
      <c r="F118" s="21"/>
      <c r="G118" s="21"/>
      <c r="H118" s="21"/>
      <c r="I118" s="21"/>
      <c r="J118" s="21"/>
    </row>
    <row r="119" spans="1:10" x14ac:dyDescent="0.35">
      <c r="A119" s="21"/>
      <c r="B119" s="21"/>
      <c r="C119" s="21"/>
      <c r="D119" s="21"/>
      <c r="E119" s="21"/>
      <c r="F119" s="21"/>
      <c r="G119" s="21"/>
      <c r="H119" s="21"/>
      <c r="I119" s="21"/>
      <c r="J119" s="21"/>
    </row>
    <row r="120" spans="1:10" x14ac:dyDescent="0.35">
      <c r="A120" s="21"/>
      <c r="B120" s="21"/>
      <c r="C120" s="21"/>
      <c r="D120" s="21"/>
      <c r="E120" s="21"/>
      <c r="F120" s="21"/>
      <c r="G120" s="21"/>
      <c r="H120" s="21"/>
      <c r="I120" s="21"/>
      <c r="J120" s="21"/>
    </row>
    <row r="121" spans="1:10" x14ac:dyDescent="0.35">
      <c r="A121" s="21"/>
      <c r="B121" s="21"/>
      <c r="C121" s="21"/>
      <c r="D121" s="21"/>
      <c r="E121" s="21"/>
      <c r="F121" s="21"/>
      <c r="G121" s="21"/>
      <c r="H121" s="21"/>
      <c r="I121" s="21"/>
      <c r="J121" s="21"/>
    </row>
  </sheetData>
  <sheetProtection password="DCC6"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W34"/>
  <sheetViews>
    <sheetView zoomScale="75" zoomScaleNormal="75" workbookViewId="0">
      <selection activeCell="J31" sqref="J31"/>
    </sheetView>
  </sheetViews>
  <sheetFormatPr defaultColWidth="9.1796875" defaultRowHeight="14.5" x14ac:dyDescent="0.35"/>
  <cols>
    <col min="1" max="1" width="49.1796875" style="2" customWidth="1"/>
    <col min="2" max="2" width="51.7265625" style="2" customWidth="1"/>
    <col min="3" max="3" width="9.1796875" style="2" customWidth="1"/>
    <col min="4" max="6" width="9.1796875" style="2"/>
    <col min="7" max="7" width="12.453125" style="2" customWidth="1"/>
    <col min="8" max="8" width="44.1796875" style="2" customWidth="1"/>
    <col min="9" max="9" width="28.7265625" style="2" customWidth="1"/>
    <col min="10" max="16384" width="9.1796875" style="2"/>
  </cols>
  <sheetData>
    <row r="1" spans="1:23" x14ac:dyDescent="0.35">
      <c r="A1" s="2" t="s">
        <v>112</v>
      </c>
      <c r="C1" s="2" t="s">
        <v>407</v>
      </c>
    </row>
    <row r="2" spans="1:23" x14ac:dyDescent="0.35">
      <c r="A2" s="2" t="s">
        <v>113</v>
      </c>
      <c r="B2" s="2" t="s">
        <v>263</v>
      </c>
      <c r="C2" s="2">
        <v>100</v>
      </c>
      <c r="D2" s="9" t="s">
        <v>262</v>
      </c>
      <c r="E2" s="9"/>
      <c r="F2" s="9"/>
      <c r="G2" s="9"/>
      <c r="H2" s="9"/>
      <c r="J2" s="34"/>
      <c r="K2" s="10"/>
      <c r="L2" s="10"/>
      <c r="M2" s="10"/>
      <c r="N2" s="10"/>
      <c r="O2" s="10"/>
      <c r="P2" s="10"/>
      <c r="Q2" s="10"/>
      <c r="R2" s="10"/>
      <c r="S2" s="10"/>
      <c r="T2" s="10"/>
      <c r="U2" s="10"/>
      <c r="V2" s="10"/>
      <c r="W2" s="21"/>
    </row>
    <row r="3" spans="1:23" x14ac:dyDescent="0.35">
      <c r="A3" s="2" t="s">
        <v>263</v>
      </c>
      <c r="B3" s="2" t="s">
        <v>264</v>
      </c>
      <c r="C3" s="2">
        <v>200</v>
      </c>
      <c r="D3" s="4" t="s">
        <v>249</v>
      </c>
      <c r="E3" s="9"/>
      <c r="F3" s="9"/>
      <c r="G3" s="4">
        <v>0.34399999999999997</v>
      </c>
      <c r="H3" s="9"/>
      <c r="J3" s="10"/>
      <c r="K3" s="10"/>
      <c r="L3" s="10"/>
      <c r="M3" s="10"/>
      <c r="N3" s="10"/>
      <c r="O3" s="10"/>
      <c r="P3" s="10"/>
      <c r="Q3" s="10"/>
      <c r="R3" s="10"/>
      <c r="S3" s="10"/>
      <c r="T3" s="10"/>
      <c r="U3" s="10"/>
      <c r="V3" s="10"/>
      <c r="W3" s="21"/>
    </row>
    <row r="4" spans="1:23" x14ac:dyDescent="0.35">
      <c r="A4" s="2" t="s">
        <v>264</v>
      </c>
      <c r="B4" s="2" t="s">
        <v>265</v>
      </c>
      <c r="C4" s="2">
        <v>300</v>
      </c>
      <c r="D4" s="4" t="s">
        <v>250</v>
      </c>
      <c r="E4" s="9"/>
      <c r="F4" s="9"/>
      <c r="G4" s="4">
        <v>18</v>
      </c>
      <c r="H4" s="9" t="s">
        <v>143</v>
      </c>
      <c r="J4" s="10"/>
      <c r="K4" s="10"/>
      <c r="L4" s="10"/>
      <c r="M4" s="10"/>
      <c r="N4" s="10"/>
      <c r="O4" s="10"/>
      <c r="P4" s="10"/>
      <c r="Q4" s="10"/>
      <c r="R4" s="10"/>
      <c r="S4" s="10"/>
      <c r="T4" s="10"/>
      <c r="U4" s="10"/>
      <c r="V4" s="10"/>
      <c r="W4" s="21"/>
    </row>
    <row r="5" spans="1:23" x14ac:dyDescent="0.35">
      <c r="A5" s="2" t="s">
        <v>265</v>
      </c>
      <c r="B5" s="2" t="s">
        <v>266</v>
      </c>
      <c r="C5" s="2">
        <v>400</v>
      </c>
      <c r="D5" s="4" t="s">
        <v>251</v>
      </c>
      <c r="E5" s="9"/>
      <c r="F5" s="9"/>
      <c r="G5" s="4">
        <v>0</v>
      </c>
      <c r="H5" s="9" t="s">
        <v>143</v>
      </c>
      <c r="J5" s="10"/>
      <c r="K5" s="21"/>
      <c r="L5" s="21"/>
      <c r="M5" s="21"/>
      <c r="N5" s="21"/>
      <c r="O5" s="36"/>
      <c r="P5" s="10"/>
      <c r="Q5" s="21"/>
      <c r="R5" s="10"/>
      <c r="S5" s="10"/>
      <c r="T5" s="10"/>
      <c r="U5" s="10"/>
      <c r="V5" s="10"/>
      <c r="W5" s="21"/>
    </row>
    <row r="6" spans="1:23" x14ac:dyDescent="0.35">
      <c r="A6" s="2" t="s">
        <v>266</v>
      </c>
      <c r="B6" s="2" t="s">
        <v>267</v>
      </c>
      <c r="C6" s="2">
        <v>500</v>
      </c>
      <c r="D6" s="4" t="s">
        <v>252</v>
      </c>
      <c r="E6" s="9"/>
      <c r="F6" s="9"/>
      <c r="G6" s="4">
        <v>0.4</v>
      </c>
      <c r="H6" s="9" t="s">
        <v>258</v>
      </c>
      <c r="J6" s="10"/>
      <c r="K6" s="10"/>
      <c r="L6" s="10"/>
      <c r="M6" s="10"/>
      <c r="N6" s="10"/>
      <c r="O6" s="36"/>
      <c r="P6" s="10"/>
      <c r="Q6" s="21"/>
      <c r="R6" s="10"/>
      <c r="S6" s="10"/>
      <c r="T6" s="10"/>
      <c r="U6" s="10"/>
      <c r="V6" s="10"/>
      <c r="W6" s="21"/>
    </row>
    <row r="7" spans="1:23" x14ac:dyDescent="0.35">
      <c r="A7" s="2" t="s">
        <v>267</v>
      </c>
      <c r="B7" s="2" t="s">
        <v>268</v>
      </c>
      <c r="C7" s="2">
        <v>600</v>
      </c>
      <c r="D7" s="10" t="s">
        <v>272</v>
      </c>
      <c r="E7" s="9"/>
      <c r="F7" s="9"/>
      <c r="G7" s="10">
        <v>2.5</v>
      </c>
      <c r="H7" s="10" t="s">
        <v>155</v>
      </c>
      <c r="J7" s="10"/>
      <c r="K7" s="10"/>
      <c r="L7" s="10"/>
      <c r="M7" s="10"/>
      <c r="N7" s="10"/>
      <c r="O7" s="36"/>
      <c r="P7" s="10"/>
      <c r="Q7" s="10"/>
      <c r="R7" s="10"/>
      <c r="S7" s="21"/>
      <c r="T7" s="21"/>
      <c r="U7" s="21"/>
      <c r="V7" s="21"/>
      <c r="W7" s="21"/>
    </row>
    <row r="8" spans="1:23" x14ac:dyDescent="0.35">
      <c r="A8" s="2" t="s">
        <v>268</v>
      </c>
      <c r="B8" s="2" t="s">
        <v>269</v>
      </c>
      <c r="C8" s="2">
        <v>700</v>
      </c>
      <c r="D8" s="10" t="s">
        <v>273</v>
      </c>
      <c r="E8" s="9"/>
      <c r="F8" s="9"/>
      <c r="G8" s="10" t="e">
        <f>Ventilācija!#REF!</f>
        <v>#REF!</v>
      </c>
      <c r="H8" s="9"/>
      <c r="J8" s="10"/>
      <c r="K8" s="10"/>
      <c r="L8" s="10"/>
      <c r="M8" s="10"/>
      <c r="N8" s="10"/>
      <c r="O8" s="10"/>
      <c r="P8" s="10"/>
      <c r="Q8" s="10"/>
      <c r="R8" s="10"/>
      <c r="S8" s="10"/>
      <c r="T8" s="10"/>
      <c r="U8" s="10"/>
      <c r="V8" s="10"/>
      <c r="W8" s="21"/>
    </row>
    <row r="9" spans="1:23" x14ac:dyDescent="0.35">
      <c r="A9" s="2" t="s">
        <v>269</v>
      </c>
      <c r="B9" s="2" t="s">
        <v>270</v>
      </c>
      <c r="C9" s="2">
        <v>800</v>
      </c>
      <c r="D9" s="4" t="s">
        <v>253</v>
      </c>
      <c r="E9" s="9"/>
      <c r="F9" s="9"/>
      <c r="G9" s="4" t="e">
        <f>G8*G7</f>
        <v>#REF!</v>
      </c>
      <c r="H9" s="10" t="s">
        <v>259</v>
      </c>
      <c r="J9" s="10"/>
      <c r="K9" s="21"/>
      <c r="L9" s="21"/>
      <c r="M9" s="21"/>
      <c r="N9" s="21"/>
      <c r="O9" s="21"/>
      <c r="P9" s="10"/>
      <c r="Q9" s="21"/>
      <c r="R9" s="21"/>
      <c r="S9" s="21"/>
      <c r="T9" s="21"/>
      <c r="U9" s="21"/>
      <c r="V9" s="21"/>
      <c r="W9" s="21"/>
    </row>
    <row r="10" spans="1:23" x14ac:dyDescent="0.35">
      <c r="A10" s="2" t="s">
        <v>270</v>
      </c>
      <c r="B10" s="2" t="s">
        <v>271</v>
      </c>
      <c r="C10" s="2">
        <v>900</v>
      </c>
      <c r="D10" s="4" t="s">
        <v>254</v>
      </c>
      <c r="E10" s="9"/>
      <c r="F10" s="9"/>
      <c r="G10" s="4" t="e">
        <f>IF(Ventilācija!#REF!='Dati ventilacija'!A2,0,IF(Ventilācija!#REF!='Dati ventilacija'!A3,0.1,IF(Ventilācija!#REF!='Dati ventilacija'!A4,0.2,IF(Ventilācija!#REF!='Dati ventilacija'!A5,0.3,IF(Ventilācija!#REF!='Dati ventilacija'!A6,0.4,IF(Ventilācija!#REF!='Dati ventilacija'!A7,0.5,IF(Ventilācija!#REF!='Dati ventilacija'!A8,0.6,IF(Ventilācija!#REF!='Dati ventilacija'!A9,0.7,IF(Ventilācija!#REF!='Dati ventilacija'!A10,0.8,IF(Ventilācija!#REF!='Dati ventilacija'!A11,0.9))))))))))</f>
        <v>#REF!</v>
      </c>
      <c r="H10" s="9"/>
      <c r="J10" s="10"/>
      <c r="K10" s="10"/>
      <c r="L10" s="10"/>
      <c r="M10" s="10"/>
      <c r="N10" s="10"/>
      <c r="O10" s="10"/>
      <c r="P10" s="10"/>
      <c r="Q10" s="10"/>
      <c r="R10" s="21"/>
      <c r="S10" s="21"/>
      <c r="T10" s="21"/>
      <c r="U10" s="21"/>
      <c r="V10" s="21"/>
      <c r="W10" s="21"/>
    </row>
    <row r="11" spans="1:23" x14ac:dyDescent="0.35">
      <c r="A11" s="2" t="s">
        <v>271</v>
      </c>
      <c r="C11" s="2">
        <v>1000</v>
      </c>
      <c r="D11" s="12" t="s">
        <v>255</v>
      </c>
      <c r="E11" s="10"/>
      <c r="F11" s="9"/>
      <c r="G11" s="13" t="e">
        <f>G3*(G4-G5)*G6*G9*(1-G10)</f>
        <v>#REF!</v>
      </c>
      <c r="H11" s="9" t="s">
        <v>256</v>
      </c>
      <c r="J11" s="34"/>
      <c r="K11" s="10"/>
      <c r="L11" s="10"/>
      <c r="M11" s="10"/>
      <c r="N11" s="10"/>
      <c r="O11" s="10"/>
      <c r="P11" s="10"/>
      <c r="Q11" s="10"/>
      <c r="R11" s="10"/>
      <c r="S11" s="10"/>
      <c r="T11" s="10"/>
      <c r="U11" s="10"/>
      <c r="V11" s="10"/>
      <c r="W11" s="21"/>
    </row>
    <row r="12" spans="1:23" x14ac:dyDescent="0.35">
      <c r="C12" s="2">
        <v>1100</v>
      </c>
      <c r="D12" s="12" t="s">
        <v>255</v>
      </c>
      <c r="E12" s="9"/>
      <c r="F12" s="9"/>
      <c r="G12" s="14" t="e">
        <f>G11/1000000</f>
        <v>#REF!</v>
      </c>
      <c r="H12" s="9" t="s">
        <v>257</v>
      </c>
      <c r="J12" s="10"/>
      <c r="K12" s="10"/>
      <c r="L12" s="10"/>
      <c r="M12" s="10"/>
      <c r="N12" s="10"/>
      <c r="O12" s="10"/>
      <c r="P12" s="10"/>
      <c r="Q12" s="10"/>
      <c r="R12" s="10"/>
      <c r="S12" s="10"/>
      <c r="T12" s="10"/>
      <c r="U12" s="10"/>
      <c r="V12" s="10"/>
      <c r="W12" s="21"/>
    </row>
    <row r="13" spans="1:23" x14ac:dyDescent="0.35">
      <c r="C13" s="2">
        <v>1200</v>
      </c>
      <c r="D13" s="9"/>
      <c r="E13" s="9"/>
      <c r="F13" s="9"/>
      <c r="G13" s="16" t="e">
        <f>G12*24*203</f>
        <v>#REF!</v>
      </c>
      <c r="H13" s="9" t="s">
        <v>260</v>
      </c>
      <c r="J13" s="10"/>
      <c r="K13" s="10"/>
      <c r="L13" s="10"/>
      <c r="M13" s="10"/>
      <c r="N13" s="10"/>
      <c r="O13" s="10"/>
      <c r="P13" s="10"/>
      <c r="Q13" s="10"/>
      <c r="R13" s="10"/>
      <c r="S13" s="10"/>
      <c r="T13" s="10"/>
      <c r="U13" s="10"/>
      <c r="V13" s="10"/>
      <c r="W13" s="21"/>
    </row>
    <row r="14" spans="1:23" x14ac:dyDescent="0.35">
      <c r="C14" s="2">
        <v>1300</v>
      </c>
      <c r="D14" s="9"/>
      <c r="E14" s="9"/>
      <c r="F14" s="9"/>
      <c r="G14" s="9"/>
      <c r="H14" s="9"/>
      <c r="J14" s="10"/>
      <c r="K14" s="10"/>
      <c r="L14" s="10"/>
      <c r="M14" s="10"/>
      <c r="N14" s="10"/>
      <c r="O14" s="36"/>
      <c r="P14" s="10"/>
      <c r="Q14" s="10"/>
      <c r="R14" s="10"/>
      <c r="S14" s="10"/>
      <c r="T14" s="10"/>
      <c r="U14" s="10"/>
      <c r="V14" s="10"/>
      <c r="W14" s="21"/>
    </row>
    <row r="15" spans="1:23" x14ac:dyDescent="0.35">
      <c r="C15" s="2">
        <v>1400</v>
      </c>
      <c r="D15" s="9" t="s">
        <v>261</v>
      </c>
      <c r="E15" s="9"/>
      <c r="F15" s="9"/>
      <c r="G15" s="9"/>
      <c r="H15" s="9"/>
      <c r="J15" s="10"/>
      <c r="K15" s="10"/>
      <c r="L15" s="10"/>
      <c r="M15" s="10"/>
      <c r="N15" s="10"/>
      <c r="O15" s="36"/>
      <c r="P15" s="10"/>
      <c r="Q15" s="10"/>
      <c r="R15" s="10"/>
      <c r="S15" s="10"/>
      <c r="T15" s="10"/>
      <c r="U15" s="10"/>
      <c r="V15" s="10"/>
      <c r="W15" s="21"/>
    </row>
    <row r="16" spans="1:23" x14ac:dyDescent="0.35">
      <c r="C16" s="2">
        <v>1500</v>
      </c>
      <c r="D16" s="4" t="s">
        <v>249</v>
      </c>
      <c r="E16" s="9"/>
      <c r="F16" s="9"/>
      <c r="G16" s="4">
        <v>0.34399999999999997</v>
      </c>
      <c r="H16" s="9"/>
      <c r="J16" s="10"/>
      <c r="K16" s="10"/>
      <c r="L16" s="10"/>
      <c r="M16" s="10"/>
      <c r="N16" s="10"/>
      <c r="O16" s="36"/>
      <c r="P16" s="10"/>
      <c r="Q16" s="10"/>
      <c r="R16" s="10"/>
      <c r="S16" s="10"/>
      <c r="T16" s="10"/>
      <c r="U16" s="10"/>
      <c r="V16" s="10"/>
      <c r="W16" s="21"/>
    </row>
    <row r="17" spans="1:23" x14ac:dyDescent="0.35">
      <c r="C17" s="2">
        <v>1600</v>
      </c>
      <c r="D17" s="4" t="s">
        <v>250</v>
      </c>
      <c r="E17" s="9"/>
      <c r="F17" s="9"/>
      <c r="G17" s="4">
        <f>G4</f>
        <v>18</v>
      </c>
      <c r="H17" s="9" t="s">
        <v>143</v>
      </c>
      <c r="J17" s="10"/>
      <c r="K17" s="10"/>
      <c r="L17" s="10"/>
      <c r="M17" s="10"/>
      <c r="N17" s="10"/>
      <c r="O17" s="10"/>
      <c r="P17" s="10"/>
      <c r="Q17" s="10"/>
      <c r="R17" s="10"/>
      <c r="S17" s="10"/>
      <c r="T17" s="10"/>
      <c r="U17" s="10"/>
      <c r="V17" s="10"/>
      <c r="W17" s="21"/>
    </row>
    <row r="18" spans="1:23" x14ac:dyDescent="0.35">
      <c r="C18" s="2">
        <v>1700</v>
      </c>
      <c r="D18" s="4" t="s">
        <v>251</v>
      </c>
      <c r="E18" s="9"/>
      <c r="F18" s="9"/>
      <c r="G18" s="4">
        <f>G5</f>
        <v>0</v>
      </c>
      <c r="H18" s="9" t="s">
        <v>143</v>
      </c>
      <c r="J18" s="10"/>
      <c r="K18" s="21"/>
      <c r="L18" s="21"/>
      <c r="M18" s="21"/>
      <c r="N18" s="21"/>
      <c r="O18" s="21"/>
      <c r="P18" s="10"/>
      <c r="Q18" s="21"/>
      <c r="R18" s="10"/>
      <c r="S18" s="10"/>
      <c r="T18" s="10"/>
      <c r="U18" s="10"/>
      <c r="V18" s="10"/>
      <c r="W18" s="10"/>
    </row>
    <row r="19" spans="1:23" x14ac:dyDescent="0.35">
      <c r="C19" s="2">
        <v>1800</v>
      </c>
      <c r="D19" s="4" t="s">
        <v>252</v>
      </c>
      <c r="E19" s="9"/>
      <c r="F19" s="9"/>
      <c r="G19" s="4">
        <f>G6</f>
        <v>0.4</v>
      </c>
      <c r="H19" s="9" t="s">
        <v>258</v>
      </c>
      <c r="J19" s="10"/>
      <c r="K19" s="10"/>
      <c r="L19" s="10"/>
      <c r="M19" s="10"/>
      <c r="N19" s="10"/>
      <c r="O19" s="10"/>
      <c r="P19" s="10"/>
      <c r="Q19" s="10"/>
      <c r="R19" s="10"/>
      <c r="S19" s="10"/>
      <c r="T19" s="10"/>
      <c r="U19" s="10"/>
      <c r="V19" s="10"/>
      <c r="W19" s="21"/>
    </row>
    <row r="20" spans="1:23" x14ac:dyDescent="0.35">
      <c r="C20" s="2">
        <v>1900</v>
      </c>
      <c r="D20" s="4" t="s">
        <v>253</v>
      </c>
      <c r="E20" s="9"/>
      <c r="F20" s="9"/>
      <c r="G20" s="4" t="e">
        <f>G9</f>
        <v>#REF!</v>
      </c>
      <c r="H20" s="10" t="s">
        <v>259</v>
      </c>
      <c r="J20" s="34"/>
      <c r="K20" s="10"/>
      <c r="L20" s="10"/>
      <c r="M20" s="10"/>
      <c r="N20" s="10"/>
      <c r="O20" s="42"/>
      <c r="P20" s="10"/>
      <c r="Q20" s="10"/>
      <c r="R20" s="21"/>
      <c r="S20" s="21"/>
      <c r="T20" s="21"/>
      <c r="U20" s="21"/>
      <c r="V20" s="21"/>
      <c r="W20" s="21"/>
    </row>
    <row r="21" spans="1:23" x14ac:dyDescent="0.35">
      <c r="C21" s="2">
        <v>2000</v>
      </c>
      <c r="D21" s="4" t="s">
        <v>254</v>
      </c>
      <c r="E21" s="9"/>
      <c r="F21" s="9"/>
      <c r="G21" s="4" t="e">
        <f>(IF(Ventilācija!#REF!='Dati ventilacija'!B2,0.1,IF(Ventilācija!#REF!='Dati ventilacija'!B3,0.2,IF(Ventilācija!#REF!='Dati ventilacija'!B4,0.3,IF(Ventilācija!#REF!='Dati ventilacija'!B5,0.4,IF(Ventilācija!#REF!='Dati ventilacija'!B6,0.5,IF(Ventilācija!#REF!='Dati ventilacija'!B7,0.6,IF(Ventilācija!#REF!='Dati ventilacija'!B8,0.7,IF(Ventilācija!#REF!='Dati ventilacija'!B9,0.8,IF(Ventilācija!#REF!='Dati ventilacija'!B10,0.9))))))))))</f>
        <v>#REF!</v>
      </c>
      <c r="H21" s="9"/>
      <c r="J21" s="34"/>
      <c r="K21" s="10"/>
      <c r="L21" s="10"/>
      <c r="M21" s="10"/>
      <c r="N21" s="10"/>
      <c r="O21" s="42"/>
      <c r="P21" s="10"/>
      <c r="Q21" s="10"/>
      <c r="R21" s="21"/>
      <c r="S21" s="21"/>
      <c r="T21" s="21"/>
      <c r="U21" s="21"/>
      <c r="V21" s="21"/>
      <c r="W21" s="21"/>
    </row>
    <row r="22" spans="1:23" x14ac:dyDescent="0.35">
      <c r="C22" s="2">
        <v>2100</v>
      </c>
      <c r="D22" s="12" t="s">
        <v>255</v>
      </c>
      <c r="E22" s="10"/>
      <c r="F22" s="9"/>
      <c r="G22" s="13" t="e">
        <f>G16*(G17-G18)*G19*G20*(1-G21)</f>
        <v>#REF!</v>
      </c>
      <c r="H22" s="9" t="s">
        <v>256</v>
      </c>
      <c r="J22" s="3"/>
      <c r="K22" s="9"/>
      <c r="L22" s="9"/>
      <c r="M22" s="9"/>
      <c r="N22" s="9"/>
      <c r="O22" s="42"/>
      <c r="P22" s="9"/>
      <c r="Q22" s="9"/>
    </row>
    <row r="23" spans="1:23" x14ac:dyDescent="0.35">
      <c r="C23" s="2">
        <v>2200</v>
      </c>
      <c r="D23" s="12" t="s">
        <v>255</v>
      </c>
      <c r="E23" s="9"/>
      <c r="F23" s="9"/>
      <c r="G23" s="14" t="e">
        <f>G22/1000000</f>
        <v>#REF!</v>
      </c>
      <c r="H23" s="9" t="s">
        <v>257</v>
      </c>
    </row>
    <row r="24" spans="1:23" x14ac:dyDescent="0.35">
      <c r="A24" s="2" t="s">
        <v>104</v>
      </c>
      <c r="C24" s="2">
        <v>2300</v>
      </c>
      <c r="G24" s="16" t="e">
        <f>G23*24*203</f>
        <v>#REF!</v>
      </c>
      <c r="H24" s="9" t="s">
        <v>260</v>
      </c>
      <c r="J24" s="2" t="e">
        <f>(IF(Ventilācija!#REF!='Dati ventilacija'!B31,A25,IF(Ventilācija!#REF!='Dati ventilacija'!B32,A26,IF(Ventilācija!#REF!='Dati ventilacija'!B33,A27,IF(Ventilācija!#REF!='Dati ventilacija'!B34,A28)))))</f>
        <v>#REF!</v>
      </c>
    </row>
    <row r="25" spans="1:23" x14ac:dyDescent="0.35">
      <c r="A25" s="2">
        <v>1.54</v>
      </c>
      <c r="C25" s="2">
        <v>2400</v>
      </c>
      <c r="D25" s="15" t="s">
        <v>168</v>
      </c>
      <c r="G25" s="43" t="e">
        <f>(G13-G24)*1000</f>
        <v>#REF!</v>
      </c>
      <c r="H25" s="9" t="s">
        <v>274</v>
      </c>
    </row>
    <row r="26" spans="1:23" x14ac:dyDescent="0.35">
      <c r="A26" s="2">
        <v>1.4630000000000001</v>
      </c>
      <c r="C26" s="2">
        <v>2500</v>
      </c>
    </row>
    <row r="27" spans="1:23" x14ac:dyDescent="0.35">
      <c r="A27" s="2">
        <v>1.3859999999999999</v>
      </c>
      <c r="C27" s="2">
        <v>2600</v>
      </c>
      <c r="P27" s="17"/>
    </row>
    <row r="28" spans="1:23" x14ac:dyDescent="0.35">
      <c r="A28" s="2">
        <v>1.3580000000000001</v>
      </c>
      <c r="C28" s="2">
        <v>2700</v>
      </c>
    </row>
    <row r="29" spans="1:23" x14ac:dyDescent="0.35">
      <c r="C29" s="2">
        <v>2800</v>
      </c>
    </row>
    <row r="30" spans="1:23" x14ac:dyDescent="0.35">
      <c r="A30" s="2" t="s">
        <v>90</v>
      </c>
      <c r="C30" s="2">
        <v>2900</v>
      </c>
      <c r="J30" s="2" t="e">
        <f>(IF(Ventilācija!#REF!='Dati ventilacija'!B31,A31,IF(Ventilācija!#REF!='Dati ventilacija'!B32,A32,IF(Ventilācija!#REF!='Dati ventilacija'!B33,A33,IF(Ventilācija!#REF!='Dati ventilacija'!B34,A34)))))</f>
        <v>#REF!</v>
      </c>
    </row>
    <row r="31" spans="1:23" x14ac:dyDescent="0.35">
      <c r="A31" s="2">
        <v>2.2000000000000002</v>
      </c>
      <c r="B31" s="2" t="s">
        <v>95</v>
      </c>
      <c r="C31" s="2">
        <v>3000</v>
      </c>
      <c r="P31" s="17"/>
    </row>
    <row r="32" spans="1:23" x14ac:dyDescent="0.35">
      <c r="A32" s="2">
        <v>2.09</v>
      </c>
      <c r="B32" s="2" t="s">
        <v>109</v>
      </c>
      <c r="P32" s="17"/>
    </row>
    <row r="33" spans="1:16" x14ac:dyDescent="0.35">
      <c r="A33" s="2">
        <v>1.98</v>
      </c>
      <c r="B33" s="2" t="s">
        <v>110</v>
      </c>
    </row>
    <row r="34" spans="1:16" x14ac:dyDescent="0.35">
      <c r="A34" s="2">
        <v>1.94</v>
      </c>
      <c r="B34" s="2" t="s">
        <v>111</v>
      </c>
      <c r="P34" s="39"/>
    </row>
  </sheetData>
  <sheetProtection password="DCC6"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W27"/>
  <sheetViews>
    <sheetView zoomScale="75" zoomScaleNormal="75" workbookViewId="0">
      <selection activeCell="B33" sqref="B33"/>
    </sheetView>
  </sheetViews>
  <sheetFormatPr defaultColWidth="9.1796875" defaultRowHeight="14.5" x14ac:dyDescent="0.35"/>
  <cols>
    <col min="1" max="1" width="49.1796875" style="2" customWidth="1"/>
    <col min="2" max="2" width="51.7265625" style="2" customWidth="1"/>
    <col min="3" max="3" width="9.1796875" style="2" customWidth="1"/>
    <col min="4" max="6" width="9.1796875" style="2"/>
    <col min="7" max="7" width="12.453125" style="2" customWidth="1"/>
    <col min="8" max="8" width="44.1796875" style="2" customWidth="1"/>
    <col min="9" max="9" width="28.7265625" style="2" customWidth="1"/>
    <col min="10" max="16384" width="9.1796875" style="2"/>
  </cols>
  <sheetData>
    <row r="1" spans="1:23" x14ac:dyDescent="0.35">
      <c r="A1" s="2" t="s">
        <v>112</v>
      </c>
    </row>
    <row r="2" spans="1:23" x14ac:dyDescent="0.35">
      <c r="A2" s="2">
        <v>12.5</v>
      </c>
      <c r="B2" s="2">
        <v>500</v>
      </c>
      <c r="D2" s="10"/>
      <c r="E2" s="10"/>
      <c r="F2" s="10"/>
      <c r="G2" s="10"/>
      <c r="H2" s="10"/>
      <c r="J2" s="34"/>
      <c r="K2" s="10"/>
      <c r="L2" s="10"/>
      <c r="M2" s="10"/>
      <c r="N2" s="10"/>
      <c r="O2" s="10"/>
      <c r="P2" s="10"/>
      <c r="Q2" s="10"/>
      <c r="R2" s="10"/>
      <c r="S2" s="10"/>
      <c r="T2" s="10"/>
      <c r="U2" s="10"/>
      <c r="V2" s="10"/>
      <c r="W2" s="21"/>
    </row>
    <row r="3" spans="1:23" x14ac:dyDescent="0.35">
      <c r="A3" s="2">
        <v>16</v>
      </c>
      <c r="B3" s="2">
        <v>1000</v>
      </c>
      <c r="D3" s="21"/>
      <c r="E3" s="10"/>
      <c r="F3" s="10"/>
      <c r="G3" s="21"/>
      <c r="H3" s="10"/>
      <c r="J3" s="10"/>
      <c r="K3" s="10"/>
      <c r="L3" s="10"/>
      <c r="M3" s="10"/>
      <c r="N3" s="10"/>
      <c r="O3" s="10"/>
      <c r="P3" s="10"/>
      <c r="Q3" s="10"/>
      <c r="R3" s="10"/>
      <c r="S3" s="10"/>
      <c r="T3" s="10"/>
      <c r="U3" s="10"/>
      <c r="V3" s="10"/>
      <c r="W3" s="21"/>
    </row>
    <row r="4" spans="1:23" x14ac:dyDescent="0.35">
      <c r="A4" s="2">
        <v>25</v>
      </c>
      <c r="B4" s="2">
        <v>1500</v>
      </c>
      <c r="D4" s="21"/>
      <c r="E4" s="10"/>
      <c r="F4" s="10"/>
      <c r="G4" s="21"/>
      <c r="H4" s="10"/>
      <c r="J4" s="10"/>
      <c r="K4" s="10"/>
      <c r="L4" s="10"/>
      <c r="M4" s="10"/>
      <c r="N4" s="10"/>
      <c r="O4" s="10"/>
      <c r="P4" s="10"/>
      <c r="Q4" s="10"/>
      <c r="R4" s="10"/>
      <c r="S4" s="10"/>
      <c r="T4" s="10"/>
      <c r="U4" s="10"/>
      <c r="V4" s="10"/>
      <c r="W4" s="21"/>
    </row>
    <row r="5" spans="1:23" x14ac:dyDescent="0.35">
      <c r="A5" s="2">
        <v>28</v>
      </c>
      <c r="B5" s="2">
        <v>2000</v>
      </c>
      <c r="D5" s="21"/>
      <c r="E5" s="10"/>
      <c r="F5" s="10"/>
      <c r="G5" s="21"/>
      <c r="H5" s="10"/>
      <c r="J5" s="10"/>
      <c r="K5" s="21"/>
      <c r="L5" s="21"/>
      <c r="M5" s="21"/>
      <c r="N5" s="21"/>
      <c r="O5" s="36"/>
      <c r="P5" s="10"/>
      <c r="Q5" s="21"/>
      <c r="R5" s="10"/>
      <c r="S5" s="10"/>
      <c r="T5" s="10"/>
      <c r="U5" s="10"/>
      <c r="V5" s="10"/>
      <c r="W5" s="21"/>
    </row>
    <row r="6" spans="1:23" x14ac:dyDescent="0.35">
      <c r="A6" s="2">
        <v>41</v>
      </c>
      <c r="B6" s="2">
        <v>2500</v>
      </c>
      <c r="D6" s="21"/>
      <c r="E6" s="10"/>
      <c r="F6" s="10"/>
      <c r="G6" s="21"/>
      <c r="H6" s="10"/>
      <c r="J6" s="10"/>
      <c r="K6" s="10"/>
      <c r="L6" s="10"/>
      <c r="M6" s="10"/>
      <c r="N6" s="10"/>
      <c r="O6" s="36"/>
      <c r="P6" s="10"/>
      <c r="Q6" s="21"/>
      <c r="R6" s="10"/>
      <c r="S6" s="10"/>
      <c r="T6" s="10"/>
      <c r="U6" s="10"/>
      <c r="V6" s="10"/>
      <c r="W6" s="21"/>
    </row>
    <row r="7" spans="1:23" x14ac:dyDescent="0.35">
      <c r="A7" s="2">
        <v>40</v>
      </c>
      <c r="B7" s="2">
        <v>3000</v>
      </c>
      <c r="D7" s="10"/>
      <c r="E7" s="10"/>
      <c r="F7" s="10"/>
      <c r="G7" s="10"/>
      <c r="H7" s="10"/>
      <c r="J7" s="10"/>
      <c r="K7" s="10"/>
      <c r="L7" s="10"/>
      <c r="M7" s="10"/>
      <c r="N7" s="10"/>
      <c r="O7" s="36"/>
      <c r="P7" s="10"/>
      <c r="Q7" s="10"/>
      <c r="R7" s="10"/>
      <c r="S7" s="21"/>
      <c r="T7" s="21"/>
      <c r="U7" s="21"/>
      <c r="V7" s="21"/>
      <c r="W7" s="21"/>
    </row>
    <row r="8" spans="1:23" x14ac:dyDescent="0.35">
      <c r="A8" s="2">
        <v>49</v>
      </c>
      <c r="B8" s="2">
        <v>3500</v>
      </c>
      <c r="D8" s="10"/>
      <c r="E8" s="10"/>
      <c r="F8" s="10"/>
      <c r="G8" s="10"/>
      <c r="H8" s="10"/>
      <c r="J8" s="10"/>
      <c r="K8" s="10"/>
      <c r="L8" s="10"/>
      <c r="M8" s="10"/>
      <c r="N8" s="10"/>
      <c r="O8" s="10"/>
      <c r="P8" s="10"/>
      <c r="Q8" s="10"/>
      <c r="R8" s="10"/>
      <c r="S8" s="10"/>
      <c r="T8" s="10"/>
      <c r="U8" s="10"/>
      <c r="V8" s="10"/>
      <c r="W8" s="21"/>
    </row>
    <row r="9" spans="1:23" x14ac:dyDescent="0.35">
      <c r="A9" s="2">
        <v>21</v>
      </c>
      <c r="B9" s="2">
        <v>4000</v>
      </c>
      <c r="D9" s="21"/>
      <c r="E9" s="10"/>
      <c r="F9" s="10"/>
      <c r="G9" s="21"/>
      <c r="H9" s="10"/>
      <c r="J9" s="10"/>
      <c r="K9" s="21"/>
      <c r="L9" s="21"/>
      <c r="M9" s="21"/>
      <c r="N9" s="21"/>
      <c r="O9" s="21"/>
      <c r="P9" s="10"/>
      <c r="Q9" s="21"/>
      <c r="R9" s="21"/>
      <c r="S9" s="21"/>
      <c r="T9" s="21"/>
      <c r="U9" s="21"/>
      <c r="V9" s="21"/>
      <c r="W9" s="21"/>
    </row>
    <row r="10" spans="1:23" x14ac:dyDescent="0.35">
      <c r="A10" s="2">
        <v>33</v>
      </c>
      <c r="B10" s="2">
        <v>4500</v>
      </c>
      <c r="D10" s="21"/>
      <c r="E10" s="10"/>
      <c r="F10" s="10"/>
      <c r="G10" s="21"/>
      <c r="H10" s="10"/>
      <c r="J10" s="10"/>
      <c r="K10" s="10"/>
      <c r="L10" s="10"/>
      <c r="M10" s="10"/>
      <c r="N10" s="10"/>
      <c r="O10" s="10"/>
      <c r="P10" s="10"/>
      <c r="Q10" s="10"/>
      <c r="R10" s="21"/>
      <c r="S10" s="21"/>
      <c r="T10" s="21"/>
      <c r="U10" s="21"/>
      <c r="V10" s="21"/>
      <c r="W10" s="21"/>
    </row>
    <row r="11" spans="1:23" x14ac:dyDescent="0.35">
      <c r="A11" s="2">
        <v>51</v>
      </c>
      <c r="D11" s="21"/>
      <c r="E11" s="10"/>
      <c r="F11" s="10"/>
      <c r="G11" s="39"/>
      <c r="H11" s="10"/>
      <c r="J11" s="34"/>
      <c r="K11" s="10"/>
      <c r="L11" s="10"/>
      <c r="M11" s="10"/>
      <c r="N11" s="10"/>
      <c r="O11" s="10"/>
      <c r="P11" s="10"/>
      <c r="Q11" s="10"/>
      <c r="R11" s="10"/>
      <c r="S11" s="10"/>
      <c r="T11" s="10"/>
      <c r="U11" s="10"/>
      <c r="V11" s="10"/>
      <c r="W11" s="21"/>
    </row>
    <row r="12" spans="1:23" x14ac:dyDescent="0.35">
      <c r="A12" s="2">
        <v>62</v>
      </c>
      <c r="D12" s="21"/>
      <c r="E12" s="10"/>
      <c r="F12" s="10"/>
      <c r="G12" s="44"/>
      <c r="H12" s="10"/>
      <c r="J12" s="10"/>
      <c r="K12" s="10"/>
      <c r="L12" s="10"/>
      <c r="M12" s="10"/>
      <c r="N12" s="10"/>
      <c r="O12" s="10"/>
      <c r="P12" s="10"/>
      <c r="Q12" s="10"/>
      <c r="R12" s="10"/>
      <c r="S12" s="10"/>
      <c r="T12" s="10"/>
      <c r="U12" s="10"/>
      <c r="V12" s="10"/>
      <c r="W12" s="21"/>
    </row>
    <row r="13" spans="1:23" x14ac:dyDescent="0.35">
      <c r="A13" s="2">
        <v>76</v>
      </c>
      <c r="D13" s="10"/>
      <c r="E13" s="10"/>
      <c r="F13" s="10"/>
      <c r="G13" s="44"/>
      <c r="H13" s="10"/>
      <c r="J13" s="10"/>
      <c r="K13" s="10"/>
      <c r="L13" s="10"/>
      <c r="M13" s="10"/>
      <c r="N13" s="10"/>
      <c r="O13" s="10"/>
      <c r="P13" s="10"/>
      <c r="Q13" s="10"/>
      <c r="R13" s="10"/>
      <c r="S13" s="10"/>
      <c r="T13" s="10"/>
      <c r="U13" s="10"/>
      <c r="V13" s="10"/>
      <c r="W13" s="21"/>
    </row>
    <row r="14" spans="1:23" x14ac:dyDescent="0.35">
      <c r="A14" s="2">
        <v>4</v>
      </c>
      <c r="D14" s="10"/>
      <c r="E14" s="10"/>
      <c r="F14" s="10"/>
      <c r="G14" s="10"/>
      <c r="H14" s="10"/>
      <c r="J14" s="10"/>
      <c r="K14" s="10"/>
      <c r="L14" s="10"/>
      <c r="M14" s="10"/>
      <c r="N14" s="10"/>
      <c r="O14" s="36"/>
      <c r="P14" s="10"/>
      <c r="Q14" s="10"/>
      <c r="R14" s="10"/>
      <c r="S14" s="10"/>
      <c r="T14" s="10"/>
      <c r="U14" s="10"/>
      <c r="V14" s="10"/>
      <c r="W14" s="21"/>
    </row>
    <row r="15" spans="1:23" x14ac:dyDescent="0.35">
      <c r="A15" s="2">
        <v>32</v>
      </c>
      <c r="D15" s="10"/>
      <c r="E15" s="10"/>
      <c r="F15" s="10"/>
      <c r="G15" s="10"/>
      <c r="H15" s="10"/>
      <c r="J15" s="10"/>
      <c r="K15" s="10"/>
      <c r="L15" s="10"/>
      <c r="M15" s="10"/>
      <c r="N15" s="10"/>
      <c r="O15" s="36"/>
      <c r="P15" s="10"/>
      <c r="Q15" s="10"/>
      <c r="R15" s="10"/>
      <c r="S15" s="10"/>
      <c r="T15" s="10"/>
      <c r="U15" s="10"/>
      <c r="V15" s="10"/>
      <c r="W15" s="21"/>
    </row>
    <row r="16" spans="1:23" x14ac:dyDescent="0.35">
      <c r="D16" s="21"/>
      <c r="E16" s="10"/>
      <c r="F16" s="10"/>
      <c r="G16" s="21"/>
      <c r="H16" s="10"/>
      <c r="J16" s="10"/>
      <c r="K16" s="10"/>
      <c r="L16" s="10"/>
      <c r="M16" s="10"/>
      <c r="N16" s="10"/>
      <c r="O16" s="36"/>
      <c r="P16" s="10"/>
      <c r="Q16" s="10"/>
      <c r="R16" s="10"/>
      <c r="S16" s="10"/>
      <c r="T16" s="10"/>
      <c r="U16" s="10"/>
      <c r="V16" s="10"/>
      <c r="W16" s="21"/>
    </row>
    <row r="17" spans="1:23" x14ac:dyDescent="0.35">
      <c r="A17" s="2" t="s">
        <v>108</v>
      </c>
      <c r="D17" s="21"/>
      <c r="E17" s="10"/>
      <c r="F17" s="10"/>
      <c r="G17" s="21"/>
      <c r="H17" s="10"/>
      <c r="J17" s="10"/>
      <c r="K17" s="10"/>
      <c r="L17" s="10"/>
      <c r="M17" s="10"/>
      <c r="N17" s="10"/>
      <c r="O17" s="36"/>
      <c r="P17" s="10"/>
      <c r="Q17" s="10"/>
      <c r="R17" s="10"/>
      <c r="S17" s="10"/>
      <c r="T17" s="10"/>
      <c r="U17" s="10"/>
      <c r="V17" s="10"/>
      <c r="W17" s="21"/>
    </row>
    <row r="18" spans="1:23" x14ac:dyDescent="0.35">
      <c r="A18" s="2" t="s">
        <v>376</v>
      </c>
      <c r="B18" s="2" t="s">
        <v>385</v>
      </c>
      <c r="C18" s="2">
        <v>20</v>
      </c>
      <c r="D18" s="21"/>
      <c r="E18" s="10"/>
      <c r="F18" s="10"/>
      <c r="G18" s="21"/>
      <c r="H18" s="10" t="e">
        <f>IF(Apgaismojums!#REF!='Dati apgaismojums'!A18,'Dati apgaismojums'!B18,IF(Apgaismojums!#REF!='Dati apgaismojums'!A19,'Dati apgaismojums'!B19,IF(Apgaismojums!#REF!='Dati apgaismojums'!A20,'Dati apgaismojums'!B20,IF(Apgaismojums!#REF!='Dati apgaismojums'!A21,'Dati apgaismojums'!B21,IF(Apgaismojums!#REF!='Dati apgaismojums'!A22,'Dati apgaismojums'!B22,IF(Apgaismojums!#REF!='Dati apgaismojums'!A23,'Dati apgaismojums'!B23,IF(Apgaismojums!#REF!='Dati apgaismojums'!A24,'Dati apgaismojums'!B24,IF(Apgaismojums!#REF!='Dati apgaismojums'!A25,'Dati apgaismojums'!B25,IF(Apgaismojums!#REF!='Dati apgaismojums'!A26,'Dati apgaismojums'!B26)))))))))</f>
        <v>#REF!</v>
      </c>
      <c r="J18" s="10"/>
      <c r="K18" s="10"/>
      <c r="L18" s="10"/>
      <c r="M18" s="10"/>
      <c r="N18" s="10"/>
      <c r="O18" s="36"/>
      <c r="P18" s="10"/>
      <c r="Q18" s="10"/>
      <c r="R18" s="10"/>
      <c r="S18" s="10"/>
      <c r="T18" s="10"/>
      <c r="U18" s="10"/>
      <c r="V18" s="10"/>
      <c r="W18" s="21"/>
    </row>
    <row r="19" spans="1:23" x14ac:dyDescent="0.35">
      <c r="A19" s="2" t="s">
        <v>377</v>
      </c>
      <c r="B19" s="2" t="s">
        <v>386</v>
      </c>
      <c r="C19" s="2">
        <v>40</v>
      </c>
      <c r="D19" s="21"/>
      <c r="E19" s="10"/>
      <c r="F19" s="10"/>
      <c r="G19" s="21"/>
      <c r="H19" s="10" t="e">
        <f>IF(Apgaismojums!#REF!='Dati apgaismojums'!A18,'Dati apgaismojums'!C18,IF(Apgaismojums!#REF!='Dati apgaismojums'!A19,'Dati apgaismojums'!C19,IF(Apgaismojums!#REF!='Dati apgaismojums'!A20,'Dati apgaismojums'!C20,IF(Apgaismojums!#REF!='Dati apgaismojums'!A21,'Dati apgaismojums'!C21,IF(Apgaismojums!#REF!='Dati apgaismojums'!A22,'Dati apgaismojums'!C22,IF(Apgaismojums!#REF!='Dati apgaismojums'!A23,'Dati apgaismojums'!C23,IF(Apgaismojums!#REF!='Dati apgaismojums'!A24,'Dati apgaismojums'!C24,IF(Apgaismojums!#REF!='Dati apgaismojums'!A25,'Dati apgaismojums'!C25,IF(Apgaismojums!#REF!='Dati apgaismojums'!A26,'Dati apgaismojums'!C26)))))))))</f>
        <v>#REF!</v>
      </c>
      <c r="J19" s="10"/>
      <c r="K19" s="10"/>
      <c r="L19" s="10"/>
      <c r="M19" s="10"/>
      <c r="N19" s="10"/>
      <c r="O19" s="36"/>
      <c r="P19" s="10"/>
      <c r="Q19" s="10"/>
      <c r="R19" s="10"/>
      <c r="S19" s="10"/>
      <c r="T19" s="10"/>
      <c r="U19" s="10"/>
      <c r="V19" s="10"/>
      <c r="W19" s="21"/>
    </row>
    <row r="20" spans="1:23" x14ac:dyDescent="0.35">
      <c r="A20" s="2" t="s">
        <v>378</v>
      </c>
      <c r="B20" s="2" t="s">
        <v>387</v>
      </c>
      <c r="C20" s="2">
        <v>80</v>
      </c>
      <c r="D20" s="21"/>
      <c r="E20" s="10"/>
      <c r="F20" s="10"/>
      <c r="G20" s="21"/>
      <c r="H20" s="10"/>
      <c r="J20" s="10"/>
      <c r="K20" s="10"/>
      <c r="L20" s="10"/>
      <c r="M20" s="10"/>
      <c r="N20" s="10"/>
      <c r="O20" s="36"/>
      <c r="P20" s="10"/>
      <c r="Q20" s="10"/>
      <c r="R20" s="10"/>
      <c r="S20" s="10"/>
      <c r="T20" s="10"/>
      <c r="U20" s="10"/>
      <c r="V20" s="10"/>
      <c r="W20" s="21"/>
    </row>
    <row r="21" spans="1:23" x14ac:dyDescent="0.35">
      <c r="A21" s="2" t="s">
        <v>379</v>
      </c>
      <c r="B21" s="2" t="s">
        <v>388</v>
      </c>
      <c r="C21" s="2">
        <v>120</v>
      </c>
      <c r="D21" s="21"/>
      <c r="E21" s="10"/>
      <c r="F21" s="10"/>
      <c r="G21" s="21"/>
      <c r="H21" s="10"/>
      <c r="J21" s="10"/>
      <c r="K21" s="10"/>
      <c r="L21" s="10"/>
      <c r="M21" s="10"/>
      <c r="N21" s="10"/>
      <c r="O21" s="36"/>
      <c r="P21" s="10"/>
      <c r="Q21" s="10"/>
      <c r="R21" s="10"/>
      <c r="S21" s="10"/>
      <c r="T21" s="10"/>
      <c r="U21" s="10"/>
      <c r="V21" s="10"/>
      <c r="W21" s="21"/>
    </row>
    <row r="22" spans="1:23" x14ac:dyDescent="0.35">
      <c r="A22" s="2" t="s">
        <v>380</v>
      </c>
      <c r="B22" s="2" t="s">
        <v>389</v>
      </c>
      <c r="C22" s="2">
        <v>150</v>
      </c>
      <c r="D22" s="21"/>
      <c r="E22" s="10"/>
      <c r="F22" s="10"/>
      <c r="G22" s="21"/>
      <c r="H22" s="10"/>
      <c r="J22" s="10"/>
      <c r="K22" s="10"/>
      <c r="L22" s="10"/>
      <c r="M22" s="10"/>
      <c r="N22" s="10"/>
      <c r="O22" s="36"/>
      <c r="P22" s="10"/>
      <c r="Q22" s="10"/>
      <c r="R22" s="10"/>
      <c r="S22" s="10"/>
      <c r="T22" s="10"/>
      <c r="U22" s="10"/>
      <c r="V22" s="10"/>
      <c r="W22" s="21"/>
    </row>
    <row r="23" spans="1:23" x14ac:dyDescent="0.35">
      <c r="A23" s="2" t="s">
        <v>381</v>
      </c>
      <c r="B23" s="2" t="s">
        <v>390</v>
      </c>
      <c r="C23" s="2">
        <v>200</v>
      </c>
      <c r="D23" s="21"/>
      <c r="E23" s="10"/>
      <c r="F23" s="10"/>
      <c r="G23" s="21"/>
      <c r="H23" s="10"/>
      <c r="J23" s="10"/>
      <c r="K23" s="10"/>
      <c r="L23" s="10"/>
      <c r="M23" s="10"/>
      <c r="N23" s="10"/>
      <c r="O23" s="36"/>
      <c r="P23" s="10"/>
      <c r="Q23" s="10"/>
      <c r="R23" s="10"/>
      <c r="S23" s="10"/>
      <c r="T23" s="10"/>
      <c r="U23" s="10"/>
      <c r="V23" s="10"/>
      <c r="W23" s="21"/>
    </row>
    <row r="24" spans="1:23" x14ac:dyDescent="0.35">
      <c r="A24" s="2" t="s">
        <v>382</v>
      </c>
      <c r="B24" s="2" t="s">
        <v>391</v>
      </c>
      <c r="C24" s="2">
        <v>300</v>
      </c>
      <c r="D24" s="21"/>
      <c r="E24" s="10"/>
      <c r="F24" s="10"/>
      <c r="G24" s="21"/>
      <c r="H24" s="10"/>
      <c r="J24" s="10"/>
      <c r="K24" s="10"/>
      <c r="L24" s="10"/>
      <c r="M24" s="10"/>
      <c r="N24" s="10"/>
      <c r="O24" s="36"/>
      <c r="P24" s="10"/>
      <c r="Q24" s="10"/>
      <c r="R24" s="10"/>
      <c r="S24" s="10"/>
      <c r="T24" s="10"/>
      <c r="U24" s="10"/>
      <c r="V24" s="10"/>
      <c r="W24" s="21"/>
    </row>
    <row r="25" spans="1:23" x14ac:dyDescent="0.35">
      <c r="A25" s="2" t="s">
        <v>383</v>
      </c>
      <c r="B25" s="2" t="s">
        <v>392</v>
      </c>
      <c r="C25" s="2">
        <v>500</v>
      </c>
      <c r="D25" s="21"/>
      <c r="E25" s="10"/>
      <c r="F25" s="10"/>
      <c r="G25" s="21"/>
      <c r="H25" s="10"/>
      <c r="J25" s="10"/>
      <c r="K25" s="10"/>
      <c r="L25" s="10"/>
      <c r="M25" s="10"/>
      <c r="N25" s="10"/>
      <c r="O25" s="36"/>
      <c r="P25" s="10"/>
      <c r="Q25" s="10"/>
      <c r="R25" s="10"/>
      <c r="S25" s="10"/>
      <c r="T25" s="10"/>
      <c r="U25" s="10"/>
      <c r="V25" s="10"/>
      <c r="W25" s="21"/>
    </row>
    <row r="26" spans="1:23" x14ac:dyDescent="0.35">
      <c r="A26" s="2" t="s">
        <v>384</v>
      </c>
      <c r="B26" s="2" t="s">
        <v>393</v>
      </c>
      <c r="C26" s="2">
        <v>1000</v>
      </c>
      <c r="D26" s="21"/>
      <c r="E26" s="10"/>
      <c r="F26" s="10"/>
      <c r="G26" s="21"/>
      <c r="H26" s="10"/>
      <c r="J26" s="10"/>
      <c r="K26" s="10"/>
      <c r="L26" s="10"/>
      <c r="M26" s="10"/>
      <c r="N26" s="10"/>
      <c r="O26" s="36"/>
      <c r="P26" s="10"/>
      <c r="Q26" s="10"/>
      <c r="R26" s="10"/>
      <c r="S26" s="10"/>
      <c r="T26" s="10"/>
      <c r="U26" s="10"/>
      <c r="V26" s="10"/>
      <c r="W26" s="21"/>
    </row>
    <row r="27" spans="1:23" x14ac:dyDescent="0.35">
      <c r="D27" s="21"/>
      <c r="E27" s="10"/>
      <c r="F27" s="10"/>
      <c r="G27" s="21"/>
      <c r="H27" s="10"/>
      <c r="J27" s="10"/>
      <c r="K27" s="10"/>
      <c r="L27" s="10"/>
      <c r="M27" s="10"/>
      <c r="N27" s="10"/>
      <c r="O27" s="36"/>
      <c r="P27" s="10"/>
      <c r="Q27" s="10"/>
      <c r="R27" s="10"/>
      <c r="S27" s="10"/>
      <c r="T27" s="10"/>
      <c r="U27" s="10"/>
      <c r="V27" s="10"/>
      <c r="W27" s="21"/>
    </row>
  </sheetData>
  <sheetProtection password="DCC6"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W81"/>
  <sheetViews>
    <sheetView topLeftCell="B49" zoomScale="75" zoomScaleNormal="75" workbookViewId="0">
      <selection activeCell="I74" sqref="I74"/>
    </sheetView>
  </sheetViews>
  <sheetFormatPr defaultColWidth="9.1796875" defaultRowHeight="14.5" x14ac:dyDescent="0.35"/>
  <cols>
    <col min="1" max="1" width="49.1796875" style="2" customWidth="1"/>
    <col min="2" max="2" width="51.7265625" style="2" customWidth="1"/>
    <col min="3" max="3" width="17.7265625" style="2" customWidth="1"/>
    <col min="4" max="4" width="20" style="2" customWidth="1"/>
    <col min="5" max="5" width="17.81640625" style="2" customWidth="1"/>
    <col min="6" max="6" width="9.1796875" style="2"/>
    <col min="7" max="7" width="12.453125" style="2" customWidth="1"/>
    <col min="8" max="8" width="44.1796875" style="2" customWidth="1"/>
    <col min="9" max="9" width="28.7265625" style="2" customWidth="1"/>
    <col min="10" max="10" width="23.54296875" style="2" customWidth="1"/>
    <col min="11" max="11" width="14.7265625" style="2" customWidth="1"/>
    <col min="12" max="16384" width="9.1796875" style="2"/>
  </cols>
  <sheetData>
    <row r="1" spans="1:23" x14ac:dyDescent="0.35">
      <c r="A1" s="2" t="s">
        <v>7</v>
      </c>
    </row>
    <row r="2" spans="1:23" x14ac:dyDescent="0.35">
      <c r="A2" s="2" t="s">
        <v>325</v>
      </c>
      <c r="B2" s="2">
        <v>1</v>
      </c>
      <c r="H2" s="2" t="e">
        <f>IF(Iekārtas!#REF!='Dati iekārtas'!A2,'Dati iekārtas'!B2,IF(Iekārtas!#REF!='Dati iekārtas'!A3,'Dati iekārtas'!B3))</f>
        <v>#REF!</v>
      </c>
      <c r="J2" s="34"/>
      <c r="K2" s="10"/>
      <c r="L2" s="10"/>
      <c r="M2" s="10"/>
      <c r="N2" s="10"/>
      <c r="O2" s="10"/>
      <c r="P2" s="10"/>
      <c r="Q2" s="10"/>
      <c r="R2" s="10"/>
      <c r="S2" s="10"/>
      <c r="T2" s="10"/>
      <c r="U2" s="10"/>
      <c r="V2" s="10"/>
      <c r="W2" s="21"/>
    </row>
    <row r="3" spans="1:23" x14ac:dyDescent="0.35">
      <c r="A3" s="2" t="s">
        <v>326</v>
      </c>
      <c r="B3" s="2">
        <v>2</v>
      </c>
      <c r="J3" s="10"/>
      <c r="K3" s="10"/>
      <c r="L3" s="10"/>
      <c r="M3" s="10"/>
      <c r="N3" s="10"/>
      <c r="O3" s="10"/>
      <c r="P3" s="10"/>
      <c r="Q3" s="10"/>
      <c r="R3" s="10"/>
      <c r="S3" s="10"/>
      <c r="T3" s="10"/>
      <c r="U3" s="10"/>
      <c r="V3" s="10"/>
      <c r="W3" s="21"/>
    </row>
    <row r="4" spans="1:23" x14ac:dyDescent="0.35">
      <c r="J4" s="10"/>
      <c r="K4" s="10"/>
      <c r="L4" s="10"/>
      <c r="M4" s="10"/>
      <c r="N4" s="10"/>
      <c r="O4" s="10"/>
      <c r="P4" s="10"/>
      <c r="Q4" s="10"/>
      <c r="R4" s="10"/>
      <c r="S4" s="10"/>
      <c r="T4" s="10"/>
      <c r="U4" s="10"/>
      <c r="V4" s="10"/>
      <c r="W4" s="21"/>
    </row>
    <row r="5" spans="1:23" x14ac:dyDescent="0.35">
      <c r="J5" s="10"/>
      <c r="K5" s="21"/>
      <c r="L5" s="21"/>
      <c r="M5" s="21"/>
      <c r="N5" s="21"/>
      <c r="O5" s="36"/>
      <c r="P5" s="10"/>
      <c r="Q5" s="21"/>
      <c r="R5" s="10"/>
      <c r="S5" s="10"/>
      <c r="T5" s="10"/>
      <c r="U5" s="10"/>
      <c r="V5" s="10"/>
      <c r="W5" s="21"/>
    </row>
    <row r="6" spans="1:23" x14ac:dyDescent="0.35">
      <c r="J6" s="10"/>
      <c r="K6" s="10"/>
      <c r="L6" s="10"/>
      <c r="M6" s="10"/>
      <c r="N6" s="10"/>
      <c r="O6" s="36"/>
      <c r="P6" s="10"/>
      <c r="Q6" s="21"/>
      <c r="R6" s="10"/>
      <c r="S6" s="10"/>
      <c r="T6" s="10"/>
      <c r="U6" s="10"/>
      <c r="V6" s="10"/>
      <c r="W6" s="21"/>
    </row>
    <row r="7" spans="1:23" x14ac:dyDescent="0.35">
      <c r="A7" s="2" t="s">
        <v>8</v>
      </c>
      <c r="J7" s="10"/>
      <c r="K7" s="10"/>
      <c r="L7" s="10"/>
      <c r="M7" s="10"/>
      <c r="N7" s="10"/>
      <c r="O7" s="36"/>
      <c r="P7" s="10"/>
      <c r="Q7" s="10"/>
      <c r="R7" s="10"/>
      <c r="S7" s="21"/>
      <c r="T7" s="21"/>
      <c r="U7" s="21"/>
      <c r="V7" s="21"/>
      <c r="W7" s="21"/>
    </row>
    <row r="8" spans="1:23" x14ac:dyDescent="0.35">
      <c r="A8" s="2" t="s">
        <v>320</v>
      </c>
      <c r="B8" s="2">
        <v>1</v>
      </c>
      <c r="D8" s="10"/>
      <c r="E8" s="10"/>
      <c r="F8" s="10"/>
      <c r="G8" s="10"/>
      <c r="H8" s="10" t="e">
        <f>IF(Iekārtas!#REF!='Dati iekārtas'!A8,'Dati iekārtas'!B8,IF(Iekārtas!#REF!='Dati iekārtas'!A9,'Dati iekārtas'!B9,IF(Iekārtas!#REF!='Dati iekārtas'!A10,'Dati iekārtas'!B10,IF(Iekārtas!#REF!='Dati iekārtas'!A11,'Dati iekārtas'!B11,IF(Iekārtas!#REF!='Dati iekārtas'!A12,'Dati iekārtas'!B12)))))</f>
        <v>#REF!</v>
      </c>
      <c r="J8" s="10"/>
      <c r="K8" s="10"/>
      <c r="L8" s="10"/>
      <c r="M8" s="10"/>
      <c r="N8" s="10"/>
      <c r="O8" s="10"/>
      <c r="P8" s="10"/>
      <c r="Q8" s="10"/>
      <c r="R8" s="10"/>
      <c r="S8" s="10"/>
      <c r="T8" s="10"/>
      <c r="U8" s="10"/>
      <c r="V8" s="10"/>
      <c r="W8" s="21"/>
    </row>
    <row r="9" spans="1:23" x14ac:dyDescent="0.35">
      <c r="A9" s="2" t="s">
        <v>321</v>
      </c>
      <c r="B9" s="2">
        <v>2</v>
      </c>
      <c r="D9" s="21"/>
      <c r="E9" s="10"/>
      <c r="F9" s="10"/>
      <c r="G9" s="21"/>
      <c r="H9" s="10"/>
      <c r="J9" s="10"/>
      <c r="K9" s="21"/>
      <c r="L9" s="21"/>
      <c r="M9" s="21"/>
      <c r="N9" s="21"/>
      <c r="O9" s="21"/>
      <c r="P9" s="10"/>
      <c r="Q9" s="21"/>
      <c r="R9" s="21"/>
      <c r="S9" s="21"/>
      <c r="T9" s="21"/>
      <c r="U9" s="21"/>
      <c r="V9" s="21"/>
      <c r="W9" s="21"/>
    </row>
    <row r="10" spans="1:23" x14ac:dyDescent="0.35">
      <c r="A10" s="2" t="s">
        <v>322</v>
      </c>
      <c r="B10" s="2">
        <v>3</v>
      </c>
      <c r="D10" s="21"/>
      <c r="E10" s="10"/>
      <c r="F10" s="10"/>
      <c r="G10" s="21"/>
      <c r="H10" s="10"/>
      <c r="J10" s="10"/>
      <c r="K10" s="10"/>
      <c r="L10" s="10"/>
      <c r="M10" s="10"/>
      <c r="N10" s="10"/>
      <c r="O10" s="10"/>
      <c r="P10" s="10"/>
      <c r="Q10" s="10"/>
      <c r="R10" s="21"/>
      <c r="S10" s="21"/>
      <c r="T10" s="21"/>
      <c r="U10" s="21"/>
      <c r="V10" s="21"/>
      <c r="W10" s="21"/>
    </row>
    <row r="11" spans="1:23" x14ac:dyDescent="0.35">
      <c r="A11" s="2" t="s">
        <v>323</v>
      </c>
      <c r="B11" s="2">
        <v>4</v>
      </c>
      <c r="D11" s="21"/>
      <c r="E11" s="10"/>
      <c r="F11" s="10"/>
      <c r="G11" s="21"/>
      <c r="H11" s="10"/>
      <c r="J11" s="34"/>
      <c r="K11" s="10"/>
      <c r="L11" s="10"/>
      <c r="M11" s="10"/>
      <c r="N11" s="10"/>
      <c r="O11" s="10"/>
      <c r="P11" s="10"/>
      <c r="Q11" s="10"/>
      <c r="R11" s="10"/>
      <c r="S11" s="10"/>
      <c r="T11" s="10"/>
      <c r="U11" s="10"/>
      <c r="V11" s="10"/>
      <c r="W11" s="21"/>
    </row>
    <row r="12" spans="1:23" x14ac:dyDescent="0.35">
      <c r="A12" s="2" t="s">
        <v>324</v>
      </c>
      <c r="B12" s="2">
        <v>5</v>
      </c>
      <c r="D12" s="21"/>
      <c r="E12" s="10"/>
      <c r="F12" s="10"/>
      <c r="G12" s="21"/>
      <c r="H12" s="10"/>
      <c r="J12" s="10"/>
      <c r="K12" s="10"/>
      <c r="L12" s="10"/>
      <c r="M12" s="10"/>
      <c r="N12" s="10"/>
      <c r="O12" s="10"/>
      <c r="P12" s="10"/>
      <c r="Q12" s="10"/>
      <c r="R12" s="10"/>
      <c r="S12" s="10"/>
      <c r="T12" s="10"/>
      <c r="U12" s="10"/>
      <c r="V12" s="10"/>
      <c r="W12" s="21"/>
    </row>
    <row r="13" spans="1:23" x14ac:dyDescent="0.35">
      <c r="D13" s="21"/>
      <c r="E13" s="10"/>
      <c r="F13" s="10"/>
      <c r="G13" s="21"/>
      <c r="H13" s="10"/>
      <c r="J13" s="10"/>
      <c r="K13" s="10"/>
      <c r="L13" s="10"/>
      <c r="M13" s="10"/>
      <c r="N13" s="10"/>
      <c r="O13" s="10"/>
      <c r="P13" s="10"/>
      <c r="Q13" s="10"/>
      <c r="R13" s="10"/>
      <c r="S13" s="10"/>
      <c r="T13" s="10"/>
      <c r="U13" s="10"/>
      <c r="V13" s="10"/>
      <c r="W13" s="21"/>
    </row>
    <row r="14" spans="1:23" x14ac:dyDescent="0.35">
      <c r="C14" s="2">
        <f>24*365-(8*250)</f>
        <v>6760</v>
      </c>
      <c r="D14" s="2">
        <f>19*365</f>
        <v>6935</v>
      </c>
      <c r="F14" s="10"/>
      <c r="G14" s="21"/>
      <c r="H14" s="10"/>
      <c r="J14" s="10"/>
      <c r="K14" s="10"/>
      <c r="L14" s="10"/>
      <c r="M14" s="10"/>
      <c r="N14" s="10"/>
      <c r="O14" s="10"/>
      <c r="P14" s="10"/>
      <c r="Q14" s="10"/>
      <c r="R14" s="10"/>
      <c r="S14" s="10"/>
      <c r="T14" s="10"/>
      <c r="U14" s="10"/>
      <c r="V14" s="10"/>
      <c r="W14" s="21"/>
    </row>
    <row r="15" spans="1:23" x14ac:dyDescent="0.35">
      <c r="A15" s="2">
        <f t="shared" ref="A15:A20" si="0">B15*$C$14</f>
        <v>14.6523</v>
      </c>
      <c r="B15" s="2">
        <f>(3.12+1.58+2.48+1.49)/4/1000</f>
        <v>2.1675000000000002E-3</v>
      </c>
      <c r="C15" s="45" t="s">
        <v>331</v>
      </c>
      <c r="F15" s="10"/>
      <c r="G15" s="21"/>
      <c r="H15" s="10"/>
      <c r="J15" s="10"/>
      <c r="K15" s="10"/>
      <c r="L15" s="10"/>
      <c r="M15" s="10"/>
      <c r="N15" s="10"/>
      <c r="O15" s="10"/>
      <c r="P15" s="10"/>
      <c r="Q15" s="10"/>
      <c r="R15" s="10"/>
      <c r="S15" s="10"/>
      <c r="T15" s="10"/>
      <c r="U15" s="10"/>
      <c r="V15" s="10"/>
      <c r="W15" s="21"/>
    </row>
    <row r="16" spans="1:23" x14ac:dyDescent="0.35">
      <c r="A16" s="2">
        <f t="shared" si="0"/>
        <v>85.209800000000001</v>
      </c>
      <c r="B16" s="2">
        <f>(12.14+1.38+21.13+15.77)/4/1000</f>
        <v>1.2605E-2</v>
      </c>
      <c r="F16" s="10"/>
      <c r="G16" s="21"/>
      <c r="H16" s="10"/>
      <c r="J16" s="10"/>
      <c r="K16" s="10"/>
      <c r="L16" s="10"/>
      <c r="M16" s="10"/>
      <c r="N16" s="10"/>
      <c r="O16" s="10"/>
      <c r="P16" s="10"/>
      <c r="Q16" s="10"/>
      <c r="R16" s="10"/>
      <c r="S16" s="10"/>
      <c r="T16" s="10"/>
      <c r="U16" s="10"/>
      <c r="V16" s="10"/>
      <c r="W16" s="21"/>
    </row>
    <row r="17" spans="1:23" x14ac:dyDescent="0.35">
      <c r="A17" s="2">
        <f t="shared" si="0"/>
        <v>10.410399999999999</v>
      </c>
      <c r="B17" s="2">
        <f>(1.37+3.06+1.12+1.14+1.01)/5/1000</f>
        <v>1.5399999999999999E-3</v>
      </c>
      <c r="F17" s="10"/>
      <c r="G17" s="21"/>
      <c r="H17" s="10"/>
      <c r="J17" s="10"/>
      <c r="K17" s="10"/>
      <c r="L17" s="10"/>
      <c r="M17" s="10"/>
      <c r="N17" s="10"/>
      <c r="O17" s="10"/>
      <c r="P17" s="10"/>
      <c r="Q17" s="10"/>
      <c r="R17" s="10"/>
      <c r="S17" s="10"/>
      <c r="T17" s="10"/>
      <c r="U17" s="10"/>
      <c r="V17" s="10"/>
      <c r="W17" s="21"/>
    </row>
    <row r="18" spans="1:23" x14ac:dyDescent="0.35">
      <c r="A18" s="2">
        <f t="shared" si="0"/>
        <v>14.6523</v>
      </c>
      <c r="B18" s="2">
        <f>(3.12+1.58+2.48+1.49)/4/1000</f>
        <v>2.1675000000000002E-3</v>
      </c>
      <c r="C18" s="2" t="s">
        <v>408</v>
      </c>
      <c r="F18" s="10"/>
      <c r="G18" s="21"/>
      <c r="H18" s="10"/>
      <c r="J18" s="10"/>
      <c r="K18" s="10"/>
      <c r="L18" s="10"/>
      <c r="M18" s="10"/>
      <c r="N18" s="10"/>
      <c r="O18" s="10"/>
      <c r="P18" s="10"/>
      <c r="Q18" s="10"/>
      <c r="R18" s="10"/>
      <c r="S18" s="10"/>
      <c r="T18" s="10"/>
      <c r="U18" s="10"/>
      <c r="V18" s="10"/>
      <c r="W18" s="21"/>
    </row>
    <row r="19" spans="1:23" x14ac:dyDescent="0.35">
      <c r="A19" s="2">
        <f t="shared" si="0"/>
        <v>23.1023</v>
      </c>
      <c r="B19" s="2">
        <f>(0.8+1.13+2.84+8.9)/4/1000</f>
        <v>3.4175E-3</v>
      </c>
      <c r="F19" s="10"/>
      <c r="G19" s="21"/>
      <c r="H19" s="10"/>
      <c r="J19" s="10"/>
      <c r="K19" s="10"/>
      <c r="L19" s="10"/>
      <c r="M19" s="10"/>
      <c r="N19" s="10"/>
      <c r="O19" s="10"/>
      <c r="P19" s="10"/>
      <c r="Q19" s="10"/>
      <c r="R19" s="10"/>
      <c r="S19" s="10"/>
      <c r="T19" s="10"/>
      <c r="U19" s="10"/>
      <c r="V19" s="10"/>
      <c r="W19" s="21"/>
    </row>
    <row r="20" spans="1:23" x14ac:dyDescent="0.35">
      <c r="A20" s="2">
        <f t="shared" si="0"/>
        <v>10.16704</v>
      </c>
      <c r="B20" s="2">
        <f>(1.37+2.88+1.12+1.14+1.01)/5/1000</f>
        <v>1.5039999999999999E-3</v>
      </c>
      <c r="F20" s="10"/>
      <c r="G20" s="21"/>
      <c r="H20" s="10"/>
      <c r="J20" s="10"/>
      <c r="K20" s="10"/>
      <c r="L20" s="10"/>
      <c r="M20" s="10"/>
      <c r="N20" s="10"/>
      <c r="O20" s="10"/>
      <c r="P20" s="10"/>
      <c r="Q20" s="10"/>
      <c r="R20" s="10"/>
      <c r="S20" s="10"/>
      <c r="T20" s="10"/>
      <c r="U20" s="10"/>
      <c r="V20" s="10"/>
      <c r="W20" s="21"/>
    </row>
    <row r="21" spans="1:23" x14ac:dyDescent="0.35">
      <c r="D21" s="21"/>
      <c r="E21" s="10"/>
      <c r="F21" s="10"/>
      <c r="G21" s="21"/>
      <c r="H21" s="10"/>
      <c r="J21" s="10"/>
      <c r="K21" s="10"/>
      <c r="L21" s="10"/>
      <c r="M21" s="10"/>
      <c r="N21" s="10"/>
      <c r="O21" s="10"/>
      <c r="P21" s="10"/>
      <c r="Q21" s="10"/>
      <c r="R21" s="10"/>
      <c r="S21" s="10"/>
      <c r="T21" s="10"/>
      <c r="U21" s="10"/>
      <c r="V21" s="10"/>
      <c r="W21" s="21"/>
    </row>
    <row r="22" spans="1:23" x14ac:dyDescent="0.35">
      <c r="D22" s="10"/>
      <c r="E22" s="10"/>
      <c r="F22" s="10"/>
      <c r="G22" s="44"/>
      <c r="H22" s="10"/>
      <c r="J22" s="10"/>
      <c r="K22" s="10"/>
      <c r="L22" s="10"/>
      <c r="M22" s="10"/>
      <c r="N22" s="10"/>
      <c r="O22" s="10"/>
      <c r="P22" s="10"/>
      <c r="Q22" s="10"/>
      <c r="R22" s="10"/>
      <c r="S22" s="10"/>
      <c r="T22" s="10"/>
      <c r="U22" s="10"/>
      <c r="V22" s="10"/>
      <c r="W22" s="21"/>
    </row>
    <row r="23" spans="1:23" x14ac:dyDescent="0.35">
      <c r="D23" s="10"/>
      <c r="E23" s="10"/>
      <c r="F23" s="10"/>
      <c r="G23" s="44"/>
      <c r="H23" s="10"/>
      <c r="J23" s="10"/>
      <c r="K23" s="10"/>
      <c r="L23" s="10"/>
      <c r="M23" s="10"/>
      <c r="N23" s="10"/>
      <c r="O23" s="10"/>
      <c r="P23" s="10"/>
      <c r="Q23" s="10"/>
      <c r="R23" s="10"/>
      <c r="S23" s="10"/>
      <c r="T23" s="10"/>
      <c r="U23" s="10"/>
      <c r="V23" s="10"/>
      <c r="W23" s="21"/>
    </row>
    <row r="24" spans="1:23" x14ac:dyDescent="0.35">
      <c r="D24" s="10"/>
      <c r="E24" s="10"/>
      <c r="F24" s="10"/>
      <c r="G24" s="10"/>
      <c r="H24" s="10"/>
      <c r="J24" s="10"/>
      <c r="K24" s="10"/>
      <c r="L24" s="10"/>
      <c r="M24" s="10"/>
      <c r="N24" s="10"/>
      <c r="O24" s="36"/>
      <c r="P24" s="10"/>
      <c r="Q24" s="10"/>
      <c r="R24" s="10"/>
      <c r="S24" s="10"/>
      <c r="T24" s="10"/>
      <c r="U24" s="10"/>
      <c r="V24" s="10"/>
      <c r="W24" s="21"/>
    </row>
    <row r="25" spans="1:23" ht="30" customHeight="1" x14ac:dyDescent="0.35">
      <c r="A25" s="24">
        <v>15</v>
      </c>
      <c r="B25" s="405" t="s">
        <v>327</v>
      </c>
      <c r="C25" s="41" t="s">
        <v>28</v>
      </c>
      <c r="D25" s="41" t="s">
        <v>29</v>
      </c>
      <c r="E25" s="41" t="s">
        <v>32</v>
      </c>
      <c r="F25" s="41">
        <f t="shared" ref="F25:F31" si="1">(N32-M32)*$M$30/1000</f>
        <v>68.62</v>
      </c>
      <c r="G25" s="41"/>
      <c r="H25" s="41"/>
      <c r="I25" s="41" t="s">
        <v>280</v>
      </c>
      <c r="J25" s="41" t="s">
        <v>330</v>
      </c>
    </row>
    <row r="26" spans="1:23" ht="30" customHeight="1" x14ac:dyDescent="0.35">
      <c r="A26" s="24">
        <v>16</v>
      </c>
      <c r="B26" s="405"/>
      <c r="C26" s="41" t="s">
        <v>28</v>
      </c>
      <c r="D26" s="41" t="s">
        <v>30</v>
      </c>
      <c r="E26" s="41" t="s">
        <v>33</v>
      </c>
      <c r="F26" s="41">
        <f t="shared" si="1"/>
        <v>80.3</v>
      </c>
      <c r="G26" s="41"/>
      <c r="H26" s="41"/>
      <c r="I26" s="41" t="s">
        <v>280</v>
      </c>
      <c r="J26" s="41" t="s">
        <v>330</v>
      </c>
    </row>
    <row r="27" spans="1:23" ht="30" customHeight="1" x14ac:dyDescent="0.35">
      <c r="A27" s="24">
        <v>17</v>
      </c>
      <c r="B27" s="405"/>
      <c r="C27" s="41" t="s">
        <v>28</v>
      </c>
      <c r="D27" s="41" t="s">
        <v>35</v>
      </c>
      <c r="E27" s="41" t="s">
        <v>36</v>
      </c>
      <c r="F27" s="41">
        <f t="shared" si="1"/>
        <v>84.68</v>
      </c>
      <c r="G27" s="41"/>
      <c r="H27" s="41"/>
      <c r="I27" s="41" t="s">
        <v>280</v>
      </c>
      <c r="J27" s="41" t="s">
        <v>330</v>
      </c>
    </row>
    <row r="28" spans="1:23" ht="30" customHeight="1" x14ac:dyDescent="0.35">
      <c r="A28" s="24">
        <v>18</v>
      </c>
      <c r="B28" s="405"/>
      <c r="C28" s="41" t="s">
        <v>28</v>
      </c>
      <c r="D28" s="41" t="s">
        <v>31</v>
      </c>
      <c r="E28" s="41" t="s">
        <v>34</v>
      </c>
      <c r="F28" s="41">
        <f t="shared" si="1"/>
        <v>93.44</v>
      </c>
      <c r="G28" s="41"/>
      <c r="H28" s="41"/>
      <c r="I28" s="41" t="s">
        <v>280</v>
      </c>
      <c r="J28" s="41" t="s">
        <v>330</v>
      </c>
    </row>
    <row r="29" spans="1:23" ht="30" customHeight="1" x14ac:dyDescent="0.35">
      <c r="A29" s="24">
        <v>19</v>
      </c>
      <c r="B29" s="405"/>
      <c r="C29" s="41" t="s">
        <v>28</v>
      </c>
      <c r="D29" s="41" t="s">
        <v>37</v>
      </c>
      <c r="E29" s="41" t="s">
        <v>40</v>
      </c>
      <c r="F29" s="41">
        <f t="shared" si="1"/>
        <v>102.2</v>
      </c>
      <c r="G29" s="41"/>
      <c r="H29" s="41"/>
      <c r="I29" s="41" t="s">
        <v>280</v>
      </c>
      <c r="J29" s="41" t="s">
        <v>330</v>
      </c>
      <c r="L29" s="2" t="s">
        <v>81</v>
      </c>
      <c r="M29" s="2" t="s">
        <v>82</v>
      </c>
    </row>
    <row r="30" spans="1:23" ht="30" customHeight="1" x14ac:dyDescent="0.35">
      <c r="A30" s="24">
        <v>20</v>
      </c>
      <c r="B30" s="405"/>
      <c r="C30" s="41" t="s">
        <v>28</v>
      </c>
      <c r="D30" s="41" t="s">
        <v>38</v>
      </c>
      <c r="E30" s="41" t="s">
        <v>41</v>
      </c>
      <c r="F30" s="41">
        <f t="shared" si="1"/>
        <v>102.2</v>
      </c>
      <c r="G30" s="41"/>
      <c r="H30" s="41"/>
      <c r="I30" s="41" t="s">
        <v>280</v>
      </c>
      <c r="J30" s="41" t="s">
        <v>330</v>
      </c>
      <c r="K30" s="2" t="s">
        <v>80</v>
      </c>
      <c r="L30" s="2">
        <v>4</v>
      </c>
      <c r="M30" s="2">
        <f>L30*365</f>
        <v>1460</v>
      </c>
    </row>
    <row r="31" spans="1:23" ht="30" customHeight="1" x14ac:dyDescent="0.35">
      <c r="A31" s="24">
        <v>21</v>
      </c>
      <c r="B31" s="405"/>
      <c r="C31" s="41" t="s">
        <v>28</v>
      </c>
      <c r="D31" s="41" t="s">
        <v>39</v>
      </c>
      <c r="E31" s="41" t="s">
        <v>42</v>
      </c>
      <c r="F31" s="41">
        <f t="shared" si="1"/>
        <v>102.2</v>
      </c>
      <c r="G31" s="41"/>
      <c r="H31" s="41"/>
      <c r="I31" s="41" t="s">
        <v>280</v>
      </c>
      <c r="J31" s="41" t="s">
        <v>330</v>
      </c>
      <c r="K31" s="8" t="s">
        <v>61</v>
      </c>
      <c r="L31" s="8" t="s">
        <v>62</v>
      </c>
      <c r="M31" s="8" t="s">
        <v>63</v>
      </c>
      <c r="N31" s="8" t="s">
        <v>64</v>
      </c>
      <c r="O31" s="8" t="s">
        <v>65</v>
      </c>
      <c r="P31" s="5"/>
    </row>
    <row r="32" spans="1:23" ht="30" customHeight="1" x14ac:dyDescent="0.35">
      <c r="A32" s="24">
        <v>22</v>
      </c>
      <c r="B32" s="405" t="s">
        <v>328</v>
      </c>
      <c r="C32" s="41" t="s">
        <v>43</v>
      </c>
      <c r="D32" s="41" t="s">
        <v>32</v>
      </c>
      <c r="E32" s="41" t="s">
        <v>44</v>
      </c>
      <c r="F32" s="41">
        <f>(M32-L32)*$M$30/1000</f>
        <v>4.38</v>
      </c>
      <c r="G32" s="41"/>
      <c r="H32" s="41"/>
      <c r="I32" s="41" t="s">
        <v>280</v>
      </c>
      <c r="J32" s="41" t="s">
        <v>330</v>
      </c>
      <c r="K32" s="6" t="s">
        <v>66</v>
      </c>
      <c r="L32" s="6">
        <v>15</v>
      </c>
      <c r="M32" s="6">
        <v>18</v>
      </c>
      <c r="N32" s="6">
        <v>65</v>
      </c>
      <c r="O32" s="6" t="s">
        <v>67</v>
      </c>
      <c r="P32" s="5"/>
    </row>
    <row r="33" spans="1:16" ht="30" customHeight="1" x14ac:dyDescent="0.35">
      <c r="A33" s="24">
        <v>23</v>
      </c>
      <c r="B33" s="405"/>
      <c r="C33" s="41" t="s">
        <v>43</v>
      </c>
      <c r="D33" s="41" t="s">
        <v>33</v>
      </c>
      <c r="E33" s="41" t="s">
        <v>45</v>
      </c>
      <c r="F33" s="41">
        <f t="shared" ref="F33:F42" si="2">(M33-L33)*$M$30/1000</f>
        <v>2.92</v>
      </c>
      <c r="G33" s="41"/>
      <c r="H33" s="41"/>
      <c r="I33" s="41" t="s">
        <v>280</v>
      </c>
      <c r="J33" s="41" t="s">
        <v>330</v>
      </c>
      <c r="K33" s="7" t="s">
        <v>68</v>
      </c>
      <c r="L33" s="7">
        <v>18</v>
      </c>
      <c r="M33" s="7">
        <v>20</v>
      </c>
      <c r="N33" s="7">
        <v>75</v>
      </c>
      <c r="O33" s="7" t="s">
        <v>67</v>
      </c>
      <c r="P33" s="5"/>
    </row>
    <row r="34" spans="1:16" ht="30" customHeight="1" x14ac:dyDescent="0.35">
      <c r="A34" s="24">
        <v>24</v>
      </c>
      <c r="B34" s="405"/>
      <c r="C34" s="41" t="s">
        <v>43</v>
      </c>
      <c r="D34" s="41" t="s">
        <v>36</v>
      </c>
      <c r="E34" s="41" t="s">
        <v>46</v>
      </c>
      <c r="F34" s="41">
        <f t="shared" si="2"/>
        <v>2.92</v>
      </c>
      <c r="G34" s="41"/>
      <c r="H34" s="41"/>
      <c r="I34" s="41" t="s">
        <v>280</v>
      </c>
      <c r="J34" s="41" t="s">
        <v>330</v>
      </c>
      <c r="K34" s="6" t="s">
        <v>69</v>
      </c>
      <c r="L34" s="6">
        <v>20</v>
      </c>
      <c r="M34" s="6">
        <v>22</v>
      </c>
      <c r="N34" s="6">
        <v>80</v>
      </c>
      <c r="O34" s="6" t="s">
        <v>67</v>
      </c>
      <c r="P34" s="5"/>
    </row>
    <row r="35" spans="1:16" ht="30" customHeight="1" x14ac:dyDescent="0.35">
      <c r="A35" s="24">
        <v>25</v>
      </c>
      <c r="B35" s="405"/>
      <c r="C35" s="41" t="s">
        <v>43</v>
      </c>
      <c r="D35" s="41" t="s">
        <v>34</v>
      </c>
      <c r="E35" s="41" t="s">
        <v>47</v>
      </c>
      <c r="F35" s="41">
        <f t="shared" si="2"/>
        <v>2.92</v>
      </c>
      <c r="G35" s="41"/>
      <c r="H35" s="41"/>
      <c r="I35" s="41" t="s">
        <v>280</v>
      </c>
      <c r="J35" s="41" t="s">
        <v>330</v>
      </c>
      <c r="K35" s="7" t="s">
        <v>70</v>
      </c>
      <c r="L35" s="7">
        <v>24</v>
      </c>
      <c r="M35" s="7">
        <v>26</v>
      </c>
      <c r="N35" s="7">
        <v>90</v>
      </c>
      <c r="O35" s="7" t="s">
        <v>67</v>
      </c>
      <c r="P35" s="5"/>
    </row>
    <row r="36" spans="1:16" ht="30" customHeight="1" x14ac:dyDescent="0.35">
      <c r="A36" s="24">
        <v>26</v>
      </c>
      <c r="B36" s="405"/>
      <c r="C36" s="41" t="s">
        <v>43</v>
      </c>
      <c r="D36" s="41" t="s">
        <v>40</v>
      </c>
      <c r="E36" s="41" t="s">
        <v>48</v>
      </c>
      <c r="F36" s="41">
        <f t="shared" si="2"/>
        <v>5.84</v>
      </c>
      <c r="G36" s="41"/>
      <c r="H36" s="41"/>
      <c r="I36" s="41" t="s">
        <v>280</v>
      </c>
      <c r="J36" s="41" t="s">
        <v>330</v>
      </c>
      <c r="K36" s="6" t="s">
        <v>71</v>
      </c>
      <c r="L36" s="6">
        <v>26</v>
      </c>
      <c r="M36" s="6">
        <v>30</v>
      </c>
      <c r="N36" s="6">
        <v>100</v>
      </c>
      <c r="O36" s="6" t="s">
        <v>67</v>
      </c>
      <c r="P36" s="5"/>
    </row>
    <row r="37" spans="1:16" ht="30" customHeight="1" x14ac:dyDescent="0.35">
      <c r="A37" s="24">
        <v>27</v>
      </c>
      <c r="B37" s="405"/>
      <c r="C37" s="41" t="s">
        <v>43</v>
      </c>
      <c r="D37" s="41" t="s">
        <v>41</v>
      </c>
      <c r="E37" s="41" t="s">
        <v>49</v>
      </c>
      <c r="F37" s="41">
        <f t="shared" si="2"/>
        <v>14.6</v>
      </c>
      <c r="G37" s="41"/>
      <c r="H37" s="41"/>
      <c r="I37" s="41" t="s">
        <v>280</v>
      </c>
      <c r="J37" s="41" t="s">
        <v>330</v>
      </c>
      <c r="K37" s="7" t="s">
        <v>72</v>
      </c>
      <c r="L37" s="7">
        <v>30</v>
      </c>
      <c r="M37" s="7">
        <v>40</v>
      </c>
      <c r="N37" s="7">
        <v>110</v>
      </c>
      <c r="O37" s="7" t="s">
        <v>67</v>
      </c>
      <c r="P37" s="5"/>
    </row>
    <row r="38" spans="1:16" ht="30" customHeight="1" x14ac:dyDescent="0.35">
      <c r="A38" s="24">
        <v>28</v>
      </c>
      <c r="B38" s="405"/>
      <c r="C38" s="41" t="s">
        <v>43</v>
      </c>
      <c r="D38" s="41" t="s">
        <v>42</v>
      </c>
      <c r="E38" s="41" t="s">
        <v>50</v>
      </c>
      <c r="F38" s="41">
        <f t="shared" si="2"/>
        <v>14.6</v>
      </c>
      <c r="G38" s="41"/>
      <c r="H38" s="41"/>
      <c r="I38" s="41" t="s">
        <v>280</v>
      </c>
      <c r="J38" s="41" t="s">
        <v>330</v>
      </c>
      <c r="K38" s="6" t="s">
        <v>73</v>
      </c>
      <c r="L38" s="6">
        <v>40</v>
      </c>
      <c r="M38" s="6">
        <v>50</v>
      </c>
      <c r="N38" s="6">
        <v>120</v>
      </c>
      <c r="O38" s="6" t="s">
        <v>67</v>
      </c>
      <c r="P38" s="5"/>
    </row>
    <row r="39" spans="1:16" ht="30" customHeight="1" x14ac:dyDescent="0.35">
      <c r="A39" s="24">
        <v>29</v>
      </c>
      <c r="B39" s="405"/>
      <c r="C39" s="41" t="s">
        <v>43</v>
      </c>
      <c r="D39" s="41" t="s">
        <v>51</v>
      </c>
      <c r="E39" s="41" t="s">
        <v>56</v>
      </c>
      <c r="F39" s="41">
        <f t="shared" si="2"/>
        <v>14.6</v>
      </c>
      <c r="G39" s="41"/>
      <c r="H39" s="41"/>
      <c r="I39" s="41" t="s">
        <v>280</v>
      </c>
      <c r="J39" s="41" t="s">
        <v>330</v>
      </c>
      <c r="K39" s="7" t="s">
        <v>74</v>
      </c>
      <c r="L39" s="7">
        <v>50</v>
      </c>
      <c r="M39" s="7">
        <v>60</v>
      </c>
      <c r="N39" s="7" t="s">
        <v>67</v>
      </c>
      <c r="O39" s="7">
        <v>150</v>
      </c>
      <c r="P39" s="5"/>
    </row>
    <row r="40" spans="1:16" ht="30" customHeight="1" x14ac:dyDescent="0.35">
      <c r="A40" s="24">
        <v>30</v>
      </c>
      <c r="B40" s="405"/>
      <c r="C40" s="41" t="s">
        <v>43</v>
      </c>
      <c r="D40" s="41" t="s">
        <v>52</v>
      </c>
      <c r="E40" s="41" t="s">
        <v>57</v>
      </c>
      <c r="F40" s="41">
        <f t="shared" si="2"/>
        <v>21.9</v>
      </c>
      <c r="G40" s="41"/>
      <c r="H40" s="41"/>
      <c r="I40" s="41" t="s">
        <v>280</v>
      </c>
      <c r="J40" s="41" t="s">
        <v>330</v>
      </c>
      <c r="K40" s="6" t="s">
        <v>75</v>
      </c>
      <c r="L40" s="6">
        <v>55</v>
      </c>
      <c r="M40" s="6">
        <v>70</v>
      </c>
      <c r="N40" s="6" t="s">
        <v>67</v>
      </c>
      <c r="O40" s="6">
        <v>160</v>
      </c>
      <c r="P40" s="5"/>
    </row>
    <row r="41" spans="1:16" ht="30" customHeight="1" x14ac:dyDescent="0.35">
      <c r="A41" s="24">
        <v>31</v>
      </c>
      <c r="B41" s="405"/>
      <c r="C41" s="41" t="s">
        <v>43</v>
      </c>
      <c r="D41" s="41" t="s">
        <v>53</v>
      </c>
      <c r="E41" s="41" t="s">
        <v>58</v>
      </c>
      <c r="F41" s="41">
        <f t="shared" si="2"/>
        <v>29.2</v>
      </c>
      <c r="G41" s="41"/>
      <c r="H41" s="41"/>
      <c r="I41" s="41" t="s">
        <v>280</v>
      </c>
      <c r="J41" s="41" t="s">
        <v>330</v>
      </c>
      <c r="K41" s="7" t="s">
        <v>76</v>
      </c>
      <c r="L41" s="7">
        <v>60</v>
      </c>
      <c r="M41" s="7">
        <v>80</v>
      </c>
      <c r="N41" s="7" t="s">
        <v>67</v>
      </c>
      <c r="O41" s="7">
        <v>180</v>
      </c>
      <c r="P41" s="5"/>
    </row>
    <row r="42" spans="1:16" ht="30" customHeight="1" x14ac:dyDescent="0.35">
      <c r="A42" s="24">
        <v>32</v>
      </c>
      <c r="B42" s="405"/>
      <c r="C42" s="41" t="s">
        <v>43</v>
      </c>
      <c r="D42" s="41" t="s">
        <v>54</v>
      </c>
      <c r="E42" s="41" t="s">
        <v>59</v>
      </c>
      <c r="F42" s="41">
        <f t="shared" si="2"/>
        <v>58.4</v>
      </c>
      <c r="G42" s="41"/>
      <c r="H42" s="41"/>
      <c r="I42" s="41" t="s">
        <v>280</v>
      </c>
      <c r="J42" s="41" t="s">
        <v>330</v>
      </c>
      <c r="K42" s="6" t="s">
        <v>77</v>
      </c>
      <c r="L42" s="6">
        <v>80</v>
      </c>
      <c r="M42" s="6">
        <v>120</v>
      </c>
      <c r="N42" s="6" t="s">
        <v>67</v>
      </c>
      <c r="O42" s="6">
        <v>220</v>
      </c>
      <c r="P42" s="5"/>
    </row>
    <row r="43" spans="1:16" ht="30" customHeight="1" x14ac:dyDescent="0.35">
      <c r="A43" s="24">
        <v>33</v>
      </c>
      <c r="B43" s="405"/>
      <c r="C43" s="41" t="s">
        <v>43</v>
      </c>
      <c r="D43" s="41" t="s">
        <v>55</v>
      </c>
      <c r="E43" s="41" t="s">
        <v>60</v>
      </c>
      <c r="F43" s="41">
        <f>(M43-L43)*$M$30/1000</f>
        <v>73</v>
      </c>
      <c r="G43" s="41"/>
      <c r="H43" s="41"/>
      <c r="I43" s="41" t="s">
        <v>280</v>
      </c>
      <c r="J43" s="41" t="s">
        <v>330</v>
      </c>
      <c r="K43" s="7" t="s">
        <v>78</v>
      </c>
      <c r="L43" s="7">
        <v>100</v>
      </c>
      <c r="M43" s="7">
        <v>150</v>
      </c>
      <c r="N43" s="7" t="s">
        <v>67</v>
      </c>
      <c r="O43" s="7">
        <v>300</v>
      </c>
      <c r="P43" s="5"/>
    </row>
    <row r="44" spans="1:16" ht="30" customHeight="1" x14ac:dyDescent="0.35">
      <c r="A44" s="24">
        <v>34</v>
      </c>
      <c r="B44" s="405" t="s">
        <v>329</v>
      </c>
      <c r="C44" s="41" t="s">
        <v>83</v>
      </c>
      <c r="D44" s="41" t="s">
        <v>29</v>
      </c>
      <c r="E44" s="41" t="s">
        <v>44</v>
      </c>
      <c r="F44" s="41">
        <f t="shared" ref="F44:F50" si="3">(N32-L32)*$M$30/1000</f>
        <v>73</v>
      </c>
      <c r="G44" s="41"/>
      <c r="H44" s="41"/>
      <c r="I44" s="41" t="s">
        <v>280</v>
      </c>
      <c r="J44" s="41" t="s">
        <v>330</v>
      </c>
      <c r="K44" s="5"/>
      <c r="L44" s="5"/>
      <c r="M44" s="5"/>
      <c r="N44" s="5"/>
      <c r="O44" s="5"/>
      <c r="P44" s="5"/>
    </row>
    <row r="45" spans="1:16" ht="30" customHeight="1" x14ac:dyDescent="0.35">
      <c r="A45" s="24">
        <v>35</v>
      </c>
      <c r="B45" s="405"/>
      <c r="C45" s="41" t="s">
        <v>83</v>
      </c>
      <c r="D45" s="41" t="s">
        <v>30</v>
      </c>
      <c r="E45" s="41" t="s">
        <v>45</v>
      </c>
      <c r="F45" s="41">
        <f t="shared" si="3"/>
        <v>83.22</v>
      </c>
      <c r="G45" s="41"/>
      <c r="H45" s="41"/>
      <c r="I45" s="41" t="s">
        <v>280</v>
      </c>
      <c r="J45" s="41" t="s">
        <v>330</v>
      </c>
      <c r="K45" s="2" t="s">
        <v>79</v>
      </c>
    </row>
    <row r="46" spans="1:16" ht="30" customHeight="1" x14ac:dyDescent="0.35">
      <c r="A46" s="24">
        <v>36</v>
      </c>
      <c r="B46" s="405"/>
      <c r="C46" s="41" t="s">
        <v>83</v>
      </c>
      <c r="D46" s="41" t="s">
        <v>35</v>
      </c>
      <c r="E46" s="41" t="s">
        <v>46</v>
      </c>
      <c r="F46" s="41">
        <f t="shared" si="3"/>
        <v>87.6</v>
      </c>
      <c r="G46" s="41"/>
      <c r="H46" s="41"/>
      <c r="I46" s="41" t="s">
        <v>280</v>
      </c>
      <c r="J46" s="41" t="s">
        <v>330</v>
      </c>
    </row>
    <row r="47" spans="1:16" ht="30" customHeight="1" x14ac:dyDescent="0.35">
      <c r="A47" s="24">
        <v>37</v>
      </c>
      <c r="B47" s="405"/>
      <c r="C47" s="41" t="s">
        <v>83</v>
      </c>
      <c r="D47" s="41" t="s">
        <v>31</v>
      </c>
      <c r="E47" s="41" t="s">
        <v>47</v>
      </c>
      <c r="F47" s="41">
        <f t="shared" si="3"/>
        <v>96.36</v>
      </c>
      <c r="G47" s="41"/>
      <c r="H47" s="41"/>
      <c r="I47" s="41" t="s">
        <v>280</v>
      </c>
      <c r="J47" s="41" t="s">
        <v>330</v>
      </c>
    </row>
    <row r="48" spans="1:16" ht="30" customHeight="1" x14ac:dyDescent="0.35">
      <c r="A48" s="24">
        <v>38</v>
      </c>
      <c r="B48" s="405"/>
      <c r="C48" s="41" t="s">
        <v>83</v>
      </c>
      <c r="D48" s="41" t="s">
        <v>37</v>
      </c>
      <c r="E48" s="41" t="s">
        <v>48</v>
      </c>
      <c r="F48" s="41">
        <f t="shared" si="3"/>
        <v>108.04</v>
      </c>
      <c r="G48" s="41"/>
      <c r="H48" s="41"/>
      <c r="I48" s="41" t="s">
        <v>280</v>
      </c>
      <c r="J48" s="41" t="s">
        <v>330</v>
      </c>
    </row>
    <row r="49" spans="1:10" ht="30" customHeight="1" x14ac:dyDescent="0.35">
      <c r="A49" s="24">
        <v>39</v>
      </c>
      <c r="B49" s="405"/>
      <c r="C49" s="41" t="s">
        <v>83</v>
      </c>
      <c r="D49" s="41" t="s">
        <v>38</v>
      </c>
      <c r="E49" s="41" t="s">
        <v>49</v>
      </c>
      <c r="F49" s="41">
        <f t="shared" si="3"/>
        <v>116.8</v>
      </c>
      <c r="G49" s="41"/>
      <c r="H49" s="41"/>
      <c r="I49" s="41" t="s">
        <v>280</v>
      </c>
      <c r="J49" s="41" t="s">
        <v>330</v>
      </c>
    </row>
    <row r="50" spans="1:10" ht="30" customHeight="1" x14ac:dyDescent="0.35">
      <c r="A50" s="24">
        <v>40</v>
      </c>
      <c r="B50" s="405"/>
      <c r="C50" s="41" t="s">
        <v>83</v>
      </c>
      <c r="D50" s="41" t="s">
        <v>39</v>
      </c>
      <c r="E50" s="41" t="s">
        <v>50</v>
      </c>
      <c r="F50" s="41">
        <f t="shared" si="3"/>
        <v>116.8</v>
      </c>
      <c r="G50" s="41"/>
      <c r="H50" s="41"/>
      <c r="I50" s="41" t="s">
        <v>280</v>
      </c>
      <c r="J50" s="41" t="s">
        <v>330</v>
      </c>
    </row>
    <row r="52" spans="1:10" x14ac:dyDescent="0.35">
      <c r="A52" s="2" t="s">
        <v>295</v>
      </c>
      <c r="E52" s="2" t="s">
        <v>309</v>
      </c>
    </row>
    <row r="53" spans="1:10" x14ac:dyDescent="0.35">
      <c r="A53" s="2" t="s">
        <v>143</v>
      </c>
      <c r="B53" s="2">
        <v>712</v>
      </c>
      <c r="C53" s="2" t="s">
        <v>301</v>
      </c>
      <c r="E53" s="2">
        <v>95</v>
      </c>
      <c r="G53" s="2" t="s">
        <v>308</v>
      </c>
      <c r="H53" s="17">
        <v>477</v>
      </c>
    </row>
    <row r="54" spans="1:10" x14ac:dyDescent="0.35">
      <c r="A54" s="2" t="s">
        <v>296</v>
      </c>
      <c r="B54" s="2">
        <v>477</v>
      </c>
      <c r="C54" s="2" t="s">
        <v>301</v>
      </c>
      <c r="E54" s="2">
        <v>75</v>
      </c>
      <c r="G54" s="2" t="s">
        <v>302</v>
      </c>
      <c r="H54" s="2">
        <v>0.77700000000000002</v>
      </c>
    </row>
    <row r="55" spans="1:10" x14ac:dyDescent="0.35">
      <c r="A55" s="2" t="s">
        <v>297</v>
      </c>
      <c r="B55" s="2">
        <v>352</v>
      </c>
      <c r="C55" s="2" t="s">
        <v>301</v>
      </c>
      <c r="E55" s="2">
        <v>55</v>
      </c>
      <c r="G55" s="2" t="s">
        <v>310</v>
      </c>
      <c r="H55" s="2">
        <v>303</v>
      </c>
    </row>
    <row r="56" spans="1:10" x14ac:dyDescent="0.35">
      <c r="A56" s="21" t="s">
        <v>298</v>
      </c>
      <c r="B56" s="2">
        <v>275</v>
      </c>
      <c r="C56" s="2" t="s">
        <v>301</v>
      </c>
      <c r="E56" s="2">
        <v>42</v>
      </c>
      <c r="G56" s="2" t="s">
        <v>303</v>
      </c>
      <c r="H56" s="17">
        <v>212</v>
      </c>
    </row>
    <row r="57" spans="1:10" x14ac:dyDescent="0.35">
      <c r="A57" s="21" t="s">
        <v>299</v>
      </c>
      <c r="B57" s="2">
        <v>225</v>
      </c>
      <c r="C57" s="2" t="s">
        <v>301</v>
      </c>
      <c r="E57" s="2">
        <v>30</v>
      </c>
      <c r="G57" s="2" t="s">
        <v>304</v>
      </c>
      <c r="H57" s="2">
        <v>4</v>
      </c>
    </row>
    <row r="58" spans="1:10" x14ac:dyDescent="0.35">
      <c r="A58" s="21" t="s">
        <v>300</v>
      </c>
      <c r="B58" s="2">
        <v>156</v>
      </c>
      <c r="C58" s="2" t="s">
        <v>301</v>
      </c>
      <c r="E58" s="2">
        <v>22</v>
      </c>
      <c r="G58" s="2" t="s">
        <v>305</v>
      </c>
      <c r="H58" s="17">
        <v>88</v>
      </c>
    </row>
    <row r="59" spans="1:10" x14ac:dyDescent="0.35">
      <c r="G59" s="2" t="s">
        <v>306</v>
      </c>
      <c r="H59" s="2">
        <v>-18</v>
      </c>
    </row>
    <row r="60" spans="1:10" x14ac:dyDescent="0.35">
      <c r="G60" s="2" t="s">
        <v>307</v>
      </c>
      <c r="H60" s="2">
        <f>H54*((H56*((25-H57)/20))+(H58*((25-H59)/20)))+H55</f>
        <v>622.96860000000004</v>
      </c>
    </row>
    <row r="61" spans="1:10" x14ac:dyDescent="0.35">
      <c r="G61" s="19" t="s">
        <v>309</v>
      </c>
      <c r="H61" s="19">
        <f>H53/H60*100</f>
        <v>76.568867194911576</v>
      </c>
    </row>
    <row r="63" spans="1:10" x14ac:dyDescent="0.35">
      <c r="A63" s="2" t="s">
        <v>17</v>
      </c>
      <c r="B63" s="2" t="s">
        <v>18</v>
      </c>
      <c r="C63" s="2" t="e">
        <f>IF(Iekārtas!#REF!='Dati iekārtas'!A63,'Dati iekārtas'!B53,IF(Iekārtas!#REF!='Dati iekārtas'!A64,'Dati iekārtas'!B54,IF(Iekārtas!#REF!='Dati iekārtas'!A65,'Dati iekārtas'!B55,IF(Iekārtas!#REF!='Dati iekārtas'!A66,'Dati iekārtas'!B56,IF(Iekārtas!#REF!='Dati iekārtas'!A67,'Dati iekārtas'!B57)))))</f>
        <v>#REF!</v>
      </c>
      <c r="D63" s="2" t="e">
        <f>IF(Iekārtas!#REF!='Dati iekārtas'!B63,'Dati iekārtas'!B54,IF(Iekārtas!#REF!='Dati iekārtas'!B64,'Dati iekārtas'!B55,IF(Iekārtas!#REF!='Dati iekārtas'!B65,'Dati iekārtas'!B56,IF(Iekārtas!#REF!='Dati iekārtas'!B66,'Dati iekārtas'!B57,IF(Iekārtas!#REF!='Dati iekārtas'!B67,'Dati iekārtas'!B58)))))</f>
        <v>#REF!</v>
      </c>
      <c r="E63" s="2" t="e">
        <f>C63-D63</f>
        <v>#REF!</v>
      </c>
    </row>
    <row r="64" spans="1:10" x14ac:dyDescent="0.35">
      <c r="A64" s="2" t="s">
        <v>18</v>
      </c>
      <c r="B64" s="2" t="s">
        <v>19</v>
      </c>
    </row>
    <row r="65" spans="1:14" x14ac:dyDescent="0.35">
      <c r="A65" s="2" t="s">
        <v>19</v>
      </c>
      <c r="B65" s="2" t="s">
        <v>20</v>
      </c>
    </row>
    <row r="66" spans="1:14" x14ac:dyDescent="0.35">
      <c r="A66" s="2" t="s">
        <v>20</v>
      </c>
      <c r="B66" s="2" t="s">
        <v>21</v>
      </c>
    </row>
    <row r="67" spans="1:14" x14ac:dyDescent="0.35">
      <c r="A67" s="2" t="s">
        <v>21</v>
      </c>
      <c r="B67" s="2" t="s">
        <v>22</v>
      </c>
    </row>
    <row r="69" spans="1:14" x14ac:dyDescent="0.35">
      <c r="A69" s="2" t="s">
        <v>24</v>
      </c>
    </row>
    <row r="70" spans="1:14" x14ac:dyDescent="0.35">
      <c r="A70" s="2" t="s">
        <v>25</v>
      </c>
      <c r="B70" s="2" t="s">
        <v>26</v>
      </c>
      <c r="C70" s="2" t="e">
        <f>IF(Iekārtas!#REF!='Dati iekārtas'!A70,'Dati iekārtas'!I72,IF(Iekārtas!#REF!='Dati iekārtas'!A71,'Dati iekārtas'!J72,IF(Iekārtas!#REF!='Dati iekārtas'!A72,'Dati iekārtas'!K72,IF(Iekārtas!#REF!='Dati iekārtas'!A73,'Dati iekārtas'!L72,IF(Iekārtas!#REF!='Dati iekārtas'!A74,'Dati iekārtas'!M72)))))</f>
        <v>#REF!</v>
      </c>
      <c r="D70" s="2" t="e">
        <f>IF(Iekārtas!#REF!='Dati iekārtas'!B70,'Dati iekārtas'!J72,IF(Iekārtas!#REF!='Dati iekārtas'!B71,'Dati iekārtas'!K72,IF(Iekārtas!#REF!='Dati iekārtas'!B72,'Dati iekārtas'!L72,IF(Iekārtas!#REF!='Dati iekārtas'!B73,'Dati iekārtas'!M72,IF(Iekārtas!#REF!='Dati iekārtas'!B74,'Dati iekārtas'!N72)))))</f>
        <v>#REF!</v>
      </c>
      <c r="E70" s="2" t="e">
        <f>C70-D70</f>
        <v>#REF!</v>
      </c>
      <c r="I70" s="30" t="s">
        <v>143</v>
      </c>
      <c r="J70" s="30" t="s">
        <v>296</v>
      </c>
      <c r="K70" s="30" t="s">
        <v>297</v>
      </c>
      <c r="L70" s="30" t="s">
        <v>298</v>
      </c>
      <c r="M70" s="30" t="s">
        <v>299</v>
      </c>
      <c r="N70" s="30" t="s">
        <v>300</v>
      </c>
    </row>
    <row r="71" spans="1:14" x14ac:dyDescent="0.35">
      <c r="A71" s="2" t="s">
        <v>26</v>
      </c>
      <c r="B71" s="2" t="s">
        <v>27</v>
      </c>
      <c r="G71" s="2" t="s">
        <v>340</v>
      </c>
      <c r="H71" s="2">
        <v>100</v>
      </c>
      <c r="I71" s="2">
        <v>90</v>
      </c>
      <c r="J71" s="2">
        <v>80</v>
      </c>
      <c r="K71" s="21">
        <v>71</v>
      </c>
      <c r="L71" s="21">
        <v>63</v>
      </c>
      <c r="M71" s="21">
        <v>56</v>
      </c>
      <c r="N71" s="21">
        <v>50</v>
      </c>
    </row>
    <row r="72" spans="1:14" x14ac:dyDescent="0.35">
      <c r="A72" s="2" t="s">
        <v>27</v>
      </c>
      <c r="B72" s="2" t="s">
        <v>348</v>
      </c>
      <c r="G72" s="2" t="s">
        <v>301</v>
      </c>
      <c r="H72" s="2">
        <v>462</v>
      </c>
      <c r="I72" s="2">
        <f t="shared" ref="I72:N72" si="4">$H$72*I71/$H$71</f>
        <v>415.8</v>
      </c>
      <c r="J72" s="2">
        <f t="shared" si="4"/>
        <v>369.6</v>
      </c>
      <c r="K72" s="2">
        <f t="shared" si="4"/>
        <v>328.02</v>
      </c>
      <c r="L72" s="2">
        <f t="shared" si="4"/>
        <v>291.06</v>
      </c>
      <c r="M72" s="2">
        <f t="shared" si="4"/>
        <v>258.72000000000003</v>
      </c>
      <c r="N72" s="2">
        <f t="shared" si="4"/>
        <v>231</v>
      </c>
    </row>
    <row r="73" spans="1:14" x14ac:dyDescent="0.35">
      <c r="A73" s="2" t="s">
        <v>348</v>
      </c>
      <c r="B73" s="2" t="s">
        <v>349</v>
      </c>
    </row>
    <row r="74" spans="1:14" x14ac:dyDescent="0.35">
      <c r="A74" s="2" t="s">
        <v>349</v>
      </c>
      <c r="B74" s="2" t="s">
        <v>350</v>
      </c>
    </row>
    <row r="76" spans="1:14" x14ac:dyDescent="0.35">
      <c r="A76" s="2" t="s">
        <v>23</v>
      </c>
    </row>
    <row r="77" spans="1:14" x14ac:dyDescent="0.35">
      <c r="A77" s="2" t="s">
        <v>342</v>
      </c>
      <c r="B77" s="2" t="s">
        <v>347</v>
      </c>
      <c r="C77" s="2" t="e">
        <f>IF(Iekārtas!#REF!='Dati iekārtas'!A77,'Dati iekārtas'!I79,IF(Iekārtas!#REF!='Dati iekārtas'!A78,'Dati iekārtas'!J79,IF(Iekārtas!#REF!='Dati iekārtas'!A79,'Dati iekārtas'!K79,IF(Iekārtas!#REF!='Dati iekārtas'!A80,'Dati iekārtas'!L79,IF(Iekārtas!#REF!='Dati iekārtas'!A81,'Dati iekārtas'!M79)))))</f>
        <v>#REF!</v>
      </c>
      <c r="D77" s="2" t="e">
        <f>IF(Iekārtas!#REF!='Dati iekārtas'!B77,'Dati iekārtas'!J79,IF(Iekārtas!#REF!='Dati iekārtas'!B78,'Dati iekārtas'!K79,IF(Iekārtas!#REF!='Dati iekārtas'!B79,'Dati iekārtas'!L79,IF(Iekārtas!#REF!='Dati iekārtas'!B80,'Dati iekārtas'!M79,IF(Iekārtas!#REF!='Dati iekārtas'!B81,'Dati iekārtas'!N79)))))</f>
        <v>#REF!</v>
      </c>
      <c r="E77" s="2" t="e">
        <f>C77-D77</f>
        <v>#REF!</v>
      </c>
      <c r="I77" s="30" t="s">
        <v>143</v>
      </c>
      <c r="J77" s="30" t="s">
        <v>296</v>
      </c>
      <c r="K77" s="30" t="s">
        <v>297</v>
      </c>
      <c r="L77" s="30" t="s">
        <v>298</v>
      </c>
      <c r="M77" s="30" t="s">
        <v>299</v>
      </c>
      <c r="N77" s="30" t="s">
        <v>300</v>
      </c>
    </row>
    <row r="78" spans="1:14" x14ac:dyDescent="0.35">
      <c r="A78" s="2" t="s">
        <v>343</v>
      </c>
      <c r="B78" s="2" t="s">
        <v>341</v>
      </c>
      <c r="G78" s="2" t="s">
        <v>340</v>
      </c>
      <c r="H78" s="2">
        <v>100</v>
      </c>
      <c r="I78" s="2">
        <v>87</v>
      </c>
      <c r="J78" s="2">
        <v>77</v>
      </c>
      <c r="K78" s="21">
        <v>68</v>
      </c>
      <c r="L78" s="21">
        <v>59</v>
      </c>
      <c r="M78" s="21">
        <v>52</v>
      </c>
      <c r="N78" s="21">
        <v>46</v>
      </c>
    </row>
    <row r="79" spans="1:14" x14ac:dyDescent="0.35">
      <c r="A79" s="2" t="s">
        <v>341</v>
      </c>
      <c r="B79" s="2" t="s">
        <v>344</v>
      </c>
      <c r="G79" s="2" t="s">
        <v>301</v>
      </c>
      <c r="H79" s="2">
        <v>334</v>
      </c>
      <c r="I79" s="2">
        <f t="shared" ref="I79:N79" si="5">$H$79*I78/$H$78</f>
        <v>290.58</v>
      </c>
      <c r="J79" s="2">
        <f t="shared" si="5"/>
        <v>257.18</v>
      </c>
      <c r="K79" s="2">
        <f t="shared" si="5"/>
        <v>227.12</v>
      </c>
      <c r="L79" s="2">
        <f t="shared" si="5"/>
        <v>197.06</v>
      </c>
      <c r="M79" s="2">
        <f t="shared" si="5"/>
        <v>173.68</v>
      </c>
      <c r="N79" s="2">
        <f t="shared" si="5"/>
        <v>153.63999999999999</v>
      </c>
    </row>
    <row r="80" spans="1:14" x14ac:dyDescent="0.35">
      <c r="A80" s="2" t="s">
        <v>344</v>
      </c>
      <c r="B80" s="2" t="s">
        <v>345</v>
      </c>
    </row>
    <row r="81" spans="1:2" x14ac:dyDescent="0.35">
      <c r="A81" s="2" t="s">
        <v>345</v>
      </c>
      <c r="B81" s="2" t="s">
        <v>346</v>
      </c>
    </row>
  </sheetData>
  <sheetProtection algorithmName="SHA-512" hashValue="TB0pKVO0NC7JYkAFwfqbJplElIvdsRhu6HlW6n7m9wsRUSkIwShKyFlXzMABLzmQthAwfBdhI0s5yND9hKcKaA==" saltValue="ZJWcjhZrMeXuyaevp9DyaA==" spinCount="100000" sheet="1" objects="1" scenarios="1"/>
  <mergeCells count="3">
    <mergeCell ref="B25:B31"/>
    <mergeCell ref="B32:B43"/>
    <mergeCell ref="B44:B50"/>
  </mergeCells>
  <hyperlinks>
    <hyperlink ref="C15" r:id="rId1"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rgb="FFF6E57E"/>
    <pageSetUpPr fitToPage="1"/>
  </sheetPr>
  <dimension ref="A1:O14"/>
  <sheetViews>
    <sheetView zoomScaleNormal="100" workbookViewId="0"/>
  </sheetViews>
  <sheetFormatPr defaultColWidth="9.1796875" defaultRowHeight="14.5" x14ac:dyDescent="0.35"/>
  <cols>
    <col min="1" max="1" width="2.7265625" style="9" customWidth="1"/>
    <col min="2" max="2" width="21.1796875" style="2" customWidth="1"/>
    <col min="3" max="3" width="26.26953125" style="2" customWidth="1"/>
    <col min="4" max="4" width="17.7265625" style="2" customWidth="1"/>
    <col min="5" max="5" width="18.1796875" style="2" customWidth="1"/>
    <col min="6" max="6" width="18.26953125" style="2" customWidth="1"/>
    <col min="7" max="8" width="15.1796875" style="2" customWidth="1"/>
    <col min="9" max="9" width="21.453125" style="2" customWidth="1"/>
    <col min="10" max="10" width="15.1796875" style="2" customWidth="1"/>
    <col min="11" max="11" width="14.26953125" style="2" customWidth="1"/>
    <col min="12" max="12" width="9.81640625" style="2" customWidth="1"/>
    <col min="13" max="13" width="13.81640625" style="2" customWidth="1"/>
    <col min="14" max="14" width="5.81640625" style="2" customWidth="1"/>
    <col min="15" max="15" width="12.81640625" style="2" customWidth="1"/>
    <col min="16" max="16" width="13.54296875" style="2" customWidth="1"/>
    <col min="17" max="17" width="11.81640625" style="2" customWidth="1"/>
    <col min="18" max="18" width="10.453125" style="2" customWidth="1"/>
    <col min="19" max="19" width="12.54296875" style="2" customWidth="1"/>
    <col min="20" max="21" width="9.1796875" style="2"/>
    <col min="22" max="22" width="10" style="2" customWidth="1"/>
    <col min="23" max="16384" width="9.1796875" style="2"/>
  </cols>
  <sheetData>
    <row r="1" spans="1:15" ht="20" customHeight="1" thickBot="1" x14ac:dyDescent="0.4">
      <c r="B1" s="288" t="s">
        <v>433</v>
      </c>
      <c r="C1" s="289"/>
      <c r="D1" s="289"/>
      <c r="E1" s="289"/>
      <c r="F1" s="289"/>
      <c r="G1" s="289"/>
      <c r="H1" s="289"/>
      <c r="I1" s="289"/>
      <c r="J1" s="289"/>
      <c r="K1" s="289"/>
      <c r="L1" s="289"/>
      <c r="M1" s="290"/>
      <c r="N1" s="71"/>
    </row>
    <row r="2" spans="1:15" ht="15" thickBot="1" x14ac:dyDescent="0.4">
      <c r="B2" s="47"/>
      <c r="C2" s="47"/>
      <c r="D2" s="47"/>
      <c r="E2" s="47"/>
      <c r="F2" s="47"/>
      <c r="G2" s="47"/>
      <c r="H2" s="47"/>
      <c r="I2" s="47"/>
      <c r="J2" s="47"/>
      <c r="K2" s="47"/>
      <c r="L2" s="47"/>
      <c r="M2" s="47"/>
      <c r="N2" s="47"/>
    </row>
    <row r="3" spans="1:15" s="48" customFormat="1" ht="64.5" customHeight="1" x14ac:dyDescent="0.35">
      <c r="A3" s="59"/>
      <c r="B3" s="131" t="s">
        <v>432</v>
      </c>
      <c r="C3" s="132" t="s">
        <v>1</v>
      </c>
      <c r="D3" s="285" t="s">
        <v>419</v>
      </c>
      <c r="E3" s="285"/>
      <c r="F3" s="133" t="s">
        <v>603</v>
      </c>
      <c r="G3" s="133" t="s">
        <v>602</v>
      </c>
      <c r="H3" s="133" t="s">
        <v>601</v>
      </c>
      <c r="I3" s="291"/>
      <c r="J3" s="292"/>
      <c r="K3" s="134" t="s">
        <v>589</v>
      </c>
      <c r="L3" s="135" t="s">
        <v>585</v>
      </c>
      <c r="M3" s="136" t="s">
        <v>590</v>
      </c>
      <c r="O3" s="196" t="s">
        <v>586</v>
      </c>
    </row>
    <row r="4" spans="1:15" ht="42.75" customHeight="1" x14ac:dyDescent="0.35">
      <c r="A4" s="205" t="s">
        <v>412</v>
      </c>
      <c r="B4" s="137" t="s">
        <v>417</v>
      </c>
      <c r="C4" s="108" t="s">
        <v>418</v>
      </c>
      <c r="D4" s="297"/>
      <c r="E4" s="297"/>
      <c r="F4" s="60">
        <v>60</v>
      </c>
      <c r="G4" s="60">
        <v>15</v>
      </c>
      <c r="H4" s="61">
        <v>1460</v>
      </c>
      <c r="I4" s="293"/>
      <c r="J4" s="294"/>
      <c r="K4" s="208">
        <f>D4*(F4-G4)*H4/1000</f>
        <v>0</v>
      </c>
      <c r="L4" s="60">
        <v>4</v>
      </c>
      <c r="M4" s="210">
        <f>K4*L4</f>
        <v>0</v>
      </c>
      <c r="O4" s="178">
        <f>K4/1000</f>
        <v>0</v>
      </c>
    </row>
    <row r="5" spans="1:15" ht="52.5" customHeight="1" thickBot="1" x14ac:dyDescent="0.4">
      <c r="A5" s="205" t="s">
        <v>413</v>
      </c>
      <c r="B5" s="138" t="s">
        <v>423</v>
      </c>
      <c r="C5" s="139" t="s">
        <v>424</v>
      </c>
      <c r="D5" s="287"/>
      <c r="E5" s="287"/>
      <c r="F5" s="140">
        <v>60</v>
      </c>
      <c r="G5" s="140">
        <v>15</v>
      </c>
      <c r="H5" s="141">
        <v>2920</v>
      </c>
      <c r="I5" s="295"/>
      <c r="J5" s="296"/>
      <c r="K5" s="209">
        <f>D5*(F5-G5)*H5/1000</f>
        <v>0</v>
      </c>
      <c r="L5" s="140">
        <v>3</v>
      </c>
      <c r="M5" s="211">
        <f>K5*L5</f>
        <v>0</v>
      </c>
      <c r="O5" s="177">
        <f>K5/1000</f>
        <v>0</v>
      </c>
    </row>
    <row r="6" spans="1:15" ht="15.75" customHeight="1" thickBot="1" x14ac:dyDescent="0.4"/>
    <row r="7" spans="1:15" ht="82.5" customHeight="1" x14ac:dyDescent="0.35">
      <c r="A7" s="50"/>
      <c r="B7" s="131" t="s">
        <v>432</v>
      </c>
      <c r="C7" s="132" t="s">
        <v>1</v>
      </c>
      <c r="D7" s="285" t="s">
        <v>604</v>
      </c>
      <c r="E7" s="285"/>
      <c r="F7" s="133" t="s">
        <v>605</v>
      </c>
      <c r="G7" s="133" t="s">
        <v>606</v>
      </c>
      <c r="H7" s="133" t="s">
        <v>601</v>
      </c>
      <c r="I7" s="285" t="s">
        <v>462</v>
      </c>
      <c r="J7" s="285"/>
      <c r="K7" s="142" t="s">
        <v>589</v>
      </c>
      <c r="L7" s="151" t="s">
        <v>585</v>
      </c>
      <c r="M7" s="143" t="s">
        <v>590</v>
      </c>
      <c r="O7" s="196" t="s">
        <v>586</v>
      </c>
    </row>
    <row r="8" spans="1:15" ht="52.5" thickBot="1" x14ac:dyDescent="0.4">
      <c r="A8" s="206" t="s">
        <v>414</v>
      </c>
      <c r="B8" s="138" t="s">
        <v>420</v>
      </c>
      <c r="C8" s="139" t="s">
        <v>421</v>
      </c>
      <c r="D8" s="287"/>
      <c r="E8" s="287"/>
      <c r="F8" s="141">
        <v>15</v>
      </c>
      <c r="G8" s="141">
        <v>5</v>
      </c>
      <c r="H8" s="141">
        <v>2400</v>
      </c>
      <c r="I8" s="287" t="s">
        <v>422</v>
      </c>
      <c r="J8" s="287"/>
      <c r="K8" s="209">
        <f>D8*(F8-G8*IF(I8="Jā",0.8,1))*H8/1000</f>
        <v>0</v>
      </c>
      <c r="L8" s="140">
        <v>15</v>
      </c>
      <c r="M8" s="211">
        <f>K8*L8</f>
        <v>0</v>
      </c>
      <c r="O8" s="177">
        <f>K8/1000</f>
        <v>0</v>
      </c>
    </row>
    <row r="9" spans="1:15" ht="15" thickBot="1" x14ac:dyDescent="0.4"/>
    <row r="10" spans="1:15" ht="67" customHeight="1" x14ac:dyDescent="0.35">
      <c r="A10" s="50"/>
      <c r="B10" s="131" t="s">
        <v>432</v>
      </c>
      <c r="C10" s="132" t="s">
        <v>1</v>
      </c>
      <c r="D10" s="133" t="s">
        <v>426</v>
      </c>
      <c r="E10" s="133" t="s">
        <v>427</v>
      </c>
      <c r="F10" s="133" t="s">
        <v>607</v>
      </c>
      <c r="G10" s="133" t="s">
        <v>608</v>
      </c>
      <c r="H10" s="133" t="s">
        <v>601</v>
      </c>
      <c r="I10" s="285" t="s">
        <v>463</v>
      </c>
      <c r="J10" s="285"/>
      <c r="K10" s="142" t="s">
        <v>589</v>
      </c>
      <c r="L10" s="151" t="s">
        <v>585</v>
      </c>
      <c r="M10" s="143" t="s">
        <v>590</v>
      </c>
      <c r="O10" s="196" t="s">
        <v>586</v>
      </c>
    </row>
    <row r="11" spans="1:15" ht="52.5" thickBot="1" x14ac:dyDescent="0.4">
      <c r="A11" s="207" t="s">
        <v>415</v>
      </c>
      <c r="B11" s="138" t="s">
        <v>425</v>
      </c>
      <c r="C11" s="144" t="s">
        <v>441</v>
      </c>
      <c r="D11" s="145"/>
      <c r="E11" s="145"/>
      <c r="F11" s="141">
        <v>120</v>
      </c>
      <c r="G11" s="141">
        <v>30</v>
      </c>
      <c r="H11" s="141">
        <v>3200</v>
      </c>
      <c r="I11" s="287" t="s">
        <v>422</v>
      </c>
      <c r="J11" s="287"/>
      <c r="K11" s="212">
        <f>((D11*F11)-(E11*G11*IF(I11="Jā",0.8,1)))*H11/1000</f>
        <v>0</v>
      </c>
      <c r="L11" s="146">
        <v>15</v>
      </c>
      <c r="M11" s="213">
        <f>K11*L11</f>
        <v>0</v>
      </c>
      <c r="O11" s="177">
        <f>K11/1000</f>
        <v>0</v>
      </c>
    </row>
    <row r="12" spans="1:15" ht="15" thickBot="1" x14ac:dyDescent="0.4"/>
    <row r="13" spans="1:15" ht="83.25" customHeight="1" x14ac:dyDescent="0.35">
      <c r="A13" s="50"/>
      <c r="B13" s="131" t="s">
        <v>432</v>
      </c>
      <c r="C13" s="132" t="s">
        <v>1</v>
      </c>
      <c r="D13" s="285" t="s">
        <v>431</v>
      </c>
      <c r="E13" s="285"/>
      <c r="F13" s="133" t="s">
        <v>429</v>
      </c>
      <c r="G13" s="133" t="s">
        <v>430</v>
      </c>
      <c r="H13" s="133" t="s">
        <v>601</v>
      </c>
      <c r="I13" s="285" t="s">
        <v>462</v>
      </c>
      <c r="J13" s="285"/>
      <c r="K13" s="142" t="s">
        <v>589</v>
      </c>
      <c r="L13" s="151" t="s">
        <v>585</v>
      </c>
      <c r="M13" s="143" t="s">
        <v>590</v>
      </c>
      <c r="O13" s="196" t="s">
        <v>586</v>
      </c>
    </row>
    <row r="14" spans="1:15" ht="46.5" customHeight="1" thickBot="1" x14ac:dyDescent="0.4">
      <c r="A14" s="206" t="s">
        <v>416</v>
      </c>
      <c r="B14" s="138" t="s">
        <v>434</v>
      </c>
      <c r="C14" s="139" t="s">
        <v>428</v>
      </c>
      <c r="D14" s="286"/>
      <c r="E14" s="286"/>
      <c r="F14" s="141">
        <v>80</v>
      </c>
      <c r="G14" s="141">
        <v>20</v>
      </c>
      <c r="H14" s="141">
        <v>2400</v>
      </c>
      <c r="I14" s="287" t="s">
        <v>422</v>
      </c>
      <c r="J14" s="287"/>
      <c r="K14" s="209">
        <f>(F14-G14*IF(I14="Jā",0.8,1))*H14*D14/1000</f>
        <v>0</v>
      </c>
      <c r="L14" s="140">
        <v>10</v>
      </c>
      <c r="M14" s="211">
        <f>K14*L14</f>
        <v>0</v>
      </c>
      <c r="O14" s="177">
        <f>K14/1000</f>
        <v>0</v>
      </c>
    </row>
  </sheetData>
  <sheetProtection algorithmName="SHA-512" hashValue="ig71vMVITjj6dRQlEsPtz5ahbxbLmXmiQHyS6myD1hOKSa8kdBYhTYGyXdk0S1NWYIdT6rmko+6YyyHWhgwODA==" saltValue="YTk2i8nBGLEW0RZf34jVoA==" spinCount="100000" sheet="1" objects="1" scenarios="1"/>
  <mergeCells count="15">
    <mergeCell ref="I10:J10"/>
    <mergeCell ref="B1:M1"/>
    <mergeCell ref="D7:E7"/>
    <mergeCell ref="D8:E8"/>
    <mergeCell ref="I7:J7"/>
    <mergeCell ref="I8:J8"/>
    <mergeCell ref="I3:J5"/>
    <mergeCell ref="D3:E3"/>
    <mergeCell ref="D4:E4"/>
    <mergeCell ref="D5:E5"/>
    <mergeCell ref="I13:J13"/>
    <mergeCell ref="D14:E14"/>
    <mergeCell ref="D13:E13"/>
    <mergeCell ref="I14:J14"/>
    <mergeCell ref="I11:J11"/>
  </mergeCells>
  <dataValidations count="1">
    <dataValidation type="list" showInputMessage="1" showErrorMessage="1" sqref="I8:I9 I11:I12 I14" xr:uid="{00000000-0002-0000-0000-000000000000}">
      <formula1>"Jā, Nē"</formula1>
    </dataValidation>
  </dataValidations>
  <pageMargins left="0.7" right="0.7" top="0.75" bottom="0.75" header="0.3" footer="0.3"/>
  <pageSetup paperSize="9" scale="4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tint="0.39997558519241921"/>
    <pageSetUpPr fitToPage="1"/>
  </sheetPr>
  <dimension ref="A1:R45"/>
  <sheetViews>
    <sheetView zoomScaleNormal="100" workbookViewId="0"/>
  </sheetViews>
  <sheetFormatPr defaultColWidth="9.1796875" defaultRowHeight="14.5" x14ac:dyDescent="0.35"/>
  <cols>
    <col min="1" max="1" width="4.1796875" style="170" customWidth="1"/>
    <col min="2" max="2" width="15.7265625" style="3" customWidth="1"/>
    <col min="3" max="3" width="31" style="3" customWidth="1"/>
    <col min="4" max="4" width="14.81640625" style="3" customWidth="1"/>
    <col min="5" max="5" width="15.36328125" style="2" customWidth="1"/>
    <col min="6" max="6" width="15" style="2" customWidth="1"/>
    <col min="7" max="7" width="13.453125" style="23" customWidth="1"/>
    <col min="8" max="9" width="16.7265625" style="23" customWidth="1"/>
    <col min="10" max="10" width="16.453125" style="23" customWidth="1"/>
    <col min="11" max="11" width="14.26953125" style="23" customWidth="1"/>
    <col min="12" max="12" width="11.81640625" style="23" customWidth="1"/>
    <col min="13" max="13" width="12.1796875" style="2" customWidth="1"/>
    <col min="14" max="14" width="12.36328125" style="23" customWidth="1"/>
    <col min="15" max="15" width="11.7265625" style="2" customWidth="1"/>
    <col min="16" max="16" width="14.08984375" style="2" customWidth="1"/>
    <col min="17" max="17" width="5.90625" style="2" customWidth="1"/>
    <col min="18" max="18" width="12.26953125" style="2" customWidth="1"/>
    <col min="19" max="21" width="9.1796875" style="2"/>
    <col min="22" max="22" width="9.54296875" style="2" customWidth="1"/>
    <col min="23" max="16384" width="9.1796875" style="2"/>
  </cols>
  <sheetData>
    <row r="1" spans="1:18" ht="21.5" thickBot="1" x14ac:dyDescent="0.55000000000000004">
      <c r="B1" s="329" t="s">
        <v>530</v>
      </c>
      <c r="C1" s="330"/>
      <c r="D1" s="330"/>
      <c r="E1" s="330"/>
      <c r="F1" s="330"/>
      <c r="G1" s="330"/>
      <c r="H1" s="330"/>
      <c r="I1" s="330"/>
      <c r="J1" s="330"/>
      <c r="K1" s="330"/>
      <c r="L1" s="330"/>
      <c r="M1" s="330"/>
      <c r="N1" s="330"/>
      <c r="O1" s="330"/>
      <c r="P1" s="331"/>
    </row>
    <row r="2" spans="1:18" ht="15" thickBot="1" x14ac:dyDescent="0.4"/>
    <row r="3" spans="1:18" s="9" customFormat="1" ht="67.5" customHeight="1" x14ac:dyDescent="0.35">
      <c r="A3" s="277"/>
      <c r="B3" s="64" t="s">
        <v>432</v>
      </c>
      <c r="C3" s="310" t="s">
        <v>1</v>
      </c>
      <c r="D3" s="310"/>
      <c r="E3" s="310" t="s">
        <v>458</v>
      </c>
      <c r="F3" s="310"/>
      <c r="G3" s="310"/>
      <c r="H3" s="310" t="s">
        <v>449</v>
      </c>
      <c r="I3" s="310"/>
      <c r="J3" s="310"/>
      <c r="K3" s="310" t="s">
        <v>446</v>
      </c>
      <c r="L3" s="310"/>
      <c r="M3" s="310"/>
      <c r="N3" s="169" t="s">
        <v>587</v>
      </c>
      <c r="O3" s="101" t="s">
        <v>585</v>
      </c>
      <c r="P3" s="66" t="s">
        <v>590</v>
      </c>
      <c r="Q3" s="50"/>
      <c r="R3" s="196" t="s">
        <v>586</v>
      </c>
    </row>
    <row r="4" spans="1:18" s="9" customFormat="1" ht="62.25" customHeight="1" thickBot="1" x14ac:dyDescent="0.4">
      <c r="A4" s="277" t="s">
        <v>412</v>
      </c>
      <c r="B4" s="109" t="s">
        <v>448</v>
      </c>
      <c r="C4" s="319" t="s">
        <v>447</v>
      </c>
      <c r="D4" s="319"/>
      <c r="E4" s="320"/>
      <c r="F4" s="320"/>
      <c r="G4" s="320"/>
      <c r="H4" s="313">
        <v>500</v>
      </c>
      <c r="I4" s="313"/>
      <c r="J4" s="313"/>
      <c r="K4" s="313">
        <v>0.8</v>
      </c>
      <c r="L4" s="313"/>
      <c r="M4" s="313"/>
      <c r="N4" s="171">
        <f>E4*H4*1/K4</f>
        <v>0</v>
      </c>
      <c r="O4" s="157">
        <v>20</v>
      </c>
      <c r="P4" s="179">
        <f>N4*O4</f>
        <v>0</v>
      </c>
      <c r="Q4" s="50"/>
      <c r="R4" s="200">
        <f>N4/1000</f>
        <v>0</v>
      </c>
    </row>
    <row r="5" spans="1:18" s="9" customFormat="1" x14ac:dyDescent="0.35">
      <c r="A5" s="277"/>
      <c r="B5" s="50"/>
      <c r="C5" s="56"/>
      <c r="D5" s="56"/>
      <c r="E5" s="52"/>
      <c r="F5" s="52"/>
      <c r="G5" s="53"/>
      <c r="H5" s="53"/>
      <c r="I5" s="53"/>
      <c r="J5" s="53"/>
      <c r="K5" s="53"/>
      <c r="L5" s="53"/>
      <c r="M5" s="54"/>
      <c r="N5" s="55"/>
      <c r="O5" s="50"/>
      <c r="P5" s="50"/>
      <c r="Q5" s="50"/>
      <c r="R5" s="50"/>
    </row>
    <row r="6" spans="1:18" ht="15" thickBot="1" x14ac:dyDescent="0.4">
      <c r="B6" s="57"/>
      <c r="C6" s="57"/>
      <c r="D6" s="57"/>
      <c r="E6" s="50"/>
      <c r="F6" s="50"/>
      <c r="G6" s="51"/>
      <c r="H6" s="51"/>
      <c r="I6" s="51"/>
      <c r="J6" s="51"/>
      <c r="K6" s="51"/>
      <c r="L6" s="51"/>
      <c r="M6" s="50"/>
      <c r="N6" s="51"/>
      <c r="O6" s="50"/>
      <c r="P6" s="50"/>
      <c r="Q6" s="50"/>
      <c r="R6" s="50"/>
    </row>
    <row r="7" spans="1:18" ht="68" customHeight="1" x14ac:dyDescent="0.35">
      <c r="B7" s="64" t="s">
        <v>432</v>
      </c>
      <c r="C7" s="310" t="s">
        <v>1</v>
      </c>
      <c r="D7" s="310"/>
      <c r="E7" s="342" t="s">
        <v>617</v>
      </c>
      <c r="F7" s="342"/>
      <c r="G7" s="343" t="s">
        <v>669</v>
      </c>
      <c r="H7" s="343"/>
      <c r="I7" s="343"/>
      <c r="J7" s="310" t="s">
        <v>670</v>
      </c>
      <c r="K7" s="310"/>
      <c r="L7" s="310" t="s">
        <v>452</v>
      </c>
      <c r="M7" s="310"/>
      <c r="N7" s="169" t="s">
        <v>587</v>
      </c>
      <c r="O7" s="101" t="s">
        <v>585</v>
      </c>
      <c r="P7" s="66" t="s">
        <v>590</v>
      </c>
      <c r="Q7" s="50"/>
      <c r="R7" s="196" t="s">
        <v>586</v>
      </c>
    </row>
    <row r="8" spans="1:18" ht="78" customHeight="1" thickBot="1" x14ac:dyDescent="0.4">
      <c r="A8" s="170" t="s">
        <v>413</v>
      </c>
      <c r="B8" s="156" t="s">
        <v>450</v>
      </c>
      <c r="C8" s="319" t="s">
        <v>451</v>
      </c>
      <c r="D8" s="319"/>
      <c r="E8" s="320"/>
      <c r="F8" s="320"/>
      <c r="G8" s="313">
        <f>IF(AND(E8&gt;=50,E8&lt;120),60,IF(AND(E8&gt;=120,E8&lt;=250,E8&gt;50),50,IF(E8&gt;250,40,IF(E8=0,0,"Minimālā aprēķina platība ir 50 m2"))))</f>
        <v>0</v>
      </c>
      <c r="H8" s="313"/>
      <c r="I8" s="313"/>
      <c r="J8" s="313">
        <f>IF(G8=60,35,IF(G8=50,35,IF(G8=40,30,0)))</f>
        <v>0</v>
      </c>
      <c r="K8" s="313"/>
      <c r="L8" s="313">
        <v>0.95</v>
      </c>
      <c r="M8" s="313"/>
      <c r="N8" s="171">
        <f>E8*(G8-J8)*1/L8</f>
        <v>0</v>
      </c>
      <c r="O8" s="157">
        <v>20</v>
      </c>
      <c r="P8" s="179">
        <f>N8*O8</f>
        <v>0</v>
      </c>
      <c r="Q8" s="50"/>
      <c r="R8" s="200">
        <f>N8/1000</f>
        <v>0</v>
      </c>
    </row>
    <row r="9" spans="1:18" ht="16.5" customHeight="1" thickBot="1" x14ac:dyDescent="0.4">
      <c r="B9" s="50"/>
      <c r="C9" s="50"/>
      <c r="D9" s="50"/>
      <c r="E9" s="50"/>
      <c r="F9" s="50"/>
      <c r="G9" s="50"/>
      <c r="H9" s="50"/>
      <c r="I9" s="50"/>
      <c r="J9" s="50"/>
      <c r="K9" s="50"/>
      <c r="L9" s="50"/>
      <c r="M9" s="50"/>
      <c r="N9" s="50"/>
      <c r="O9" s="50"/>
      <c r="P9" s="50"/>
      <c r="Q9" s="50"/>
      <c r="R9" s="50"/>
    </row>
    <row r="10" spans="1:18" ht="75" customHeight="1" thickBot="1" x14ac:dyDescent="0.4">
      <c r="B10" s="67" t="s">
        <v>432</v>
      </c>
      <c r="C10" s="335" t="s">
        <v>1</v>
      </c>
      <c r="D10" s="335"/>
      <c r="E10" s="68" t="s">
        <v>618</v>
      </c>
      <c r="F10" s="68" t="s">
        <v>612</v>
      </c>
      <c r="G10" s="68" t="s">
        <v>613</v>
      </c>
      <c r="H10" s="68" t="s">
        <v>614</v>
      </c>
      <c r="I10" s="68" t="s">
        <v>615</v>
      </c>
      <c r="J10" s="68" t="s">
        <v>616</v>
      </c>
      <c r="K10" s="68" t="s">
        <v>455</v>
      </c>
      <c r="L10" s="68" t="s">
        <v>456</v>
      </c>
      <c r="M10" s="68" t="s">
        <v>457</v>
      </c>
      <c r="N10" s="169" t="s">
        <v>587</v>
      </c>
      <c r="O10" s="68" t="s">
        <v>585</v>
      </c>
      <c r="P10" s="69" t="s">
        <v>590</v>
      </c>
      <c r="Q10" s="50"/>
      <c r="R10" s="196" t="s">
        <v>586</v>
      </c>
    </row>
    <row r="11" spans="1:18" ht="15" customHeight="1" x14ac:dyDescent="0.35">
      <c r="A11" s="347" t="s">
        <v>414</v>
      </c>
      <c r="B11" s="332" t="s">
        <v>503</v>
      </c>
      <c r="C11" s="332" t="s">
        <v>459</v>
      </c>
      <c r="D11" s="113" t="s">
        <v>453</v>
      </c>
      <c r="E11" s="149"/>
      <c r="F11" s="340">
        <v>192</v>
      </c>
      <c r="G11" s="344">
        <v>20</v>
      </c>
      <c r="H11" s="340">
        <v>1.1000000000000001</v>
      </c>
      <c r="I11" s="256">
        <f>0.5*M11</f>
        <v>0.50264550264550267</v>
      </c>
      <c r="J11" s="259">
        <v>0.23</v>
      </c>
      <c r="K11" s="336">
        <f>F11*(G11-H11)</f>
        <v>3628.7999999999997</v>
      </c>
      <c r="L11" s="336">
        <v>0.8</v>
      </c>
      <c r="M11" s="337">
        <f>19/(G11-H11)</f>
        <v>1.0052910052910053</v>
      </c>
      <c r="N11" s="173">
        <f>(I11-J11)*E11*K11*0.024*1/L11</f>
        <v>0</v>
      </c>
      <c r="O11" s="159">
        <v>20</v>
      </c>
      <c r="P11" s="185">
        <f t="shared" ref="P11:P16" si="0">N11*O11</f>
        <v>0</v>
      </c>
      <c r="Q11" s="50"/>
      <c r="R11" s="202">
        <f>N11/1000</f>
        <v>0</v>
      </c>
    </row>
    <row r="12" spans="1:18" x14ac:dyDescent="0.35">
      <c r="A12" s="347"/>
      <c r="B12" s="333"/>
      <c r="C12" s="333"/>
      <c r="D12" s="114" t="s">
        <v>246</v>
      </c>
      <c r="E12" s="155"/>
      <c r="F12" s="341"/>
      <c r="G12" s="345"/>
      <c r="H12" s="341"/>
      <c r="I12" s="257">
        <f>1.6*M11</f>
        <v>1.6084656084656086</v>
      </c>
      <c r="J12" s="260">
        <v>1.1000000000000001</v>
      </c>
      <c r="K12" s="322"/>
      <c r="L12" s="322"/>
      <c r="M12" s="338"/>
      <c r="N12" s="172">
        <f>(I12-J12)*E12*K11*0.024*1/L11</f>
        <v>0</v>
      </c>
      <c r="O12" s="154">
        <v>30</v>
      </c>
      <c r="P12" s="182">
        <f t="shared" si="0"/>
        <v>0</v>
      </c>
      <c r="Q12" s="50"/>
      <c r="R12" s="202">
        <f t="shared" ref="R12:R16" si="1">N12/1000</f>
        <v>0</v>
      </c>
    </row>
    <row r="13" spans="1:18" ht="15" thickBot="1" x14ac:dyDescent="0.4">
      <c r="A13" s="347"/>
      <c r="B13" s="333"/>
      <c r="C13" s="334"/>
      <c r="D13" s="115" t="s">
        <v>454</v>
      </c>
      <c r="E13" s="162"/>
      <c r="F13" s="287"/>
      <c r="G13" s="346"/>
      <c r="H13" s="287"/>
      <c r="I13" s="258">
        <f>0.3*M11</f>
        <v>0.30158730158730157</v>
      </c>
      <c r="J13" s="261">
        <v>0.2</v>
      </c>
      <c r="K13" s="323"/>
      <c r="L13" s="323"/>
      <c r="M13" s="339"/>
      <c r="N13" s="171">
        <f>(I13-J13)*E13*K11*0.024*1/L11</f>
        <v>0</v>
      </c>
      <c r="O13" s="157">
        <v>20</v>
      </c>
      <c r="P13" s="179">
        <f t="shared" si="0"/>
        <v>0</v>
      </c>
      <c r="Q13" s="50"/>
      <c r="R13" s="202">
        <f t="shared" si="1"/>
        <v>0</v>
      </c>
    </row>
    <row r="14" spans="1:18" x14ac:dyDescent="0.35">
      <c r="A14" s="347"/>
      <c r="B14" s="333"/>
      <c r="C14" s="332" t="s">
        <v>460</v>
      </c>
      <c r="D14" s="113" t="s">
        <v>453</v>
      </c>
      <c r="E14" s="149"/>
      <c r="F14" s="340">
        <v>192</v>
      </c>
      <c r="G14" s="344">
        <v>20</v>
      </c>
      <c r="H14" s="340">
        <v>1.1000000000000001</v>
      </c>
      <c r="I14" s="256">
        <f>0.5*M14</f>
        <v>0.50264550264550267</v>
      </c>
      <c r="J14" s="259">
        <v>0.25</v>
      </c>
      <c r="K14" s="336">
        <f>F14*(G14-H14)</f>
        <v>3628.7999999999997</v>
      </c>
      <c r="L14" s="336">
        <v>0.8</v>
      </c>
      <c r="M14" s="337">
        <f>19/(G14-H14)</f>
        <v>1.0052910052910053</v>
      </c>
      <c r="N14" s="173">
        <f>(I14-J14)*E14*K14*0.024*1/L14</f>
        <v>0</v>
      </c>
      <c r="O14" s="159">
        <v>20</v>
      </c>
      <c r="P14" s="185">
        <f t="shared" si="0"/>
        <v>0</v>
      </c>
      <c r="Q14" s="50"/>
      <c r="R14" s="202">
        <f t="shared" si="1"/>
        <v>0</v>
      </c>
    </row>
    <row r="15" spans="1:18" x14ac:dyDescent="0.35">
      <c r="A15" s="347"/>
      <c r="B15" s="333"/>
      <c r="C15" s="333"/>
      <c r="D15" s="114" t="s">
        <v>246</v>
      </c>
      <c r="E15" s="155"/>
      <c r="F15" s="341"/>
      <c r="G15" s="345"/>
      <c r="H15" s="341"/>
      <c r="I15" s="257">
        <f>1.6*M14</f>
        <v>1.6084656084656086</v>
      </c>
      <c r="J15" s="260">
        <v>1.1000000000000001</v>
      </c>
      <c r="K15" s="322"/>
      <c r="L15" s="322"/>
      <c r="M15" s="338"/>
      <c r="N15" s="172">
        <f>(I15-J15)*E15*K14*0.024*1/L14</f>
        <v>0</v>
      </c>
      <c r="O15" s="154">
        <v>30</v>
      </c>
      <c r="P15" s="182">
        <f t="shared" si="0"/>
        <v>0</v>
      </c>
      <c r="Q15" s="50"/>
      <c r="R15" s="202">
        <f t="shared" si="1"/>
        <v>0</v>
      </c>
    </row>
    <row r="16" spans="1:18" ht="15" thickBot="1" x14ac:dyDescent="0.4">
      <c r="A16" s="347"/>
      <c r="B16" s="334"/>
      <c r="C16" s="334"/>
      <c r="D16" s="115" t="s">
        <v>454</v>
      </c>
      <c r="E16" s="162"/>
      <c r="F16" s="287"/>
      <c r="G16" s="346"/>
      <c r="H16" s="287"/>
      <c r="I16" s="258">
        <f>0.3*M14</f>
        <v>0.30158730158730157</v>
      </c>
      <c r="J16" s="261">
        <v>0.23</v>
      </c>
      <c r="K16" s="323"/>
      <c r="L16" s="323"/>
      <c r="M16" s="339"/>
      <c r="N16" s="171">
        <f>(I16-J16)*E16*K14*0.024*1/L14</f>
        <v>0</v>
      </c>
      <c r="O16" s="157">
        <v>20</v>
      </c>
      <c r="P16" s="179">
        <f t="shared" si="0"/>
        <v>0</v>
      </c>
      <c r="Q16" s="50"/>
      <c r="R16" s="200">
        <f t="shared" si="1"/>
        <v>0</v>
      </c>
    </row>
    <row r="17" spans="1:18" ht="15" thickBot="1" x14ac:dyDescent="0.4">
      <c r="B17" s="57"/>
      <c r="C17" s="57"/>
      <c r="D17" s="57"/>
      <c r="E17" s="50"/>
      <c r="F17" s="50"/>
      <c r="G17" s="51"/>
      <c r="H17" s="51"/>
      <c r="I17" s="51"/>
      <c r="J17" s="51"/>
      <c r="K17" s="51"/>
      <c r="L17" s="51"/>
      <c r="M17" s="50"/>
      <c r="N17" s="51"/>
      <c r="O17" s="50"/>
      <c r="P17" s="50"/>
      <c r="Q17" s="50"/>
      <c r="R17" s="50"/>
    </row>
    <row r="18" spans="1:18" ht="70.5" customHeight="1" x14ac:dyDescent="0.35">
      <c r="B18" s="103" t="s">
        <v>432</v>
      </c>
      <c r="C18" s="310" t="s">
        <v>1</v>
      </c>
      <c r="D18" s="310"/>
      <c r="E18" s="153" t="s">
        <v>498</v>
      </c>
      <c r="F18" s="153" t="s">
        <v>510</v>
      </c>
      <c r="G18" s="310" t="s">
        <v>508</v>
      </c>
      <c r="H18" s="310"/>
      <c r="I18" s="310" t="s">
        <v>509</v>
      </c>
      <c r="J18" s="310"/>
      <c r="K18" s="153" t="s">
        <v>446</v>
      </c>
      <c r="L18" s="310" t="s">
        <v>499</v>
      </c>
      <c r="M18" s="310"/>
      <c r="N18" s="169" t="s">
        <v>587</v>
      </c>
      <c r="O18" s="153" t="s">
        <v>585</v>
      </c>
      <c r="P18" s="70" t="s">
        <v>590</v>
      </c>
      <c r="Q18" s="50"/>
      <c r="R18" s="196" t="s">
        <v>586</v>
      </c>
    </row>
    <row r="19" spans="1:18" ht="30" customHeight="1" x14ac:dyDescent="0.35">
      <c r="A19" s="347" t="s">
        <v>415</v>
      </c>
      <c r="B19" s="306" t="s">
        <v>497</v>
      </c>
      <c r="C19" s="327" t="s">
        <v>504</v>
      </c>
      <c r="D19" s="116" t="s">
        <v>500</v>
      </c>
      <c r="E19" s="155"/>
      <c r="F19" s="155"/>
      <c r="G19" s="324">
        <v>150</v>
      </c>
      <c r="H19" s="324"/>
      <c r="I19" s="324">
        <v>60</v>
      </c>
      <c r="J19" s="324"/>
      <c r="K19" s="324">
        <v>0.8</v>
      </c>
      <c r="L19" s="324">
        <v>0.9</v>
      </c>
      <c r="M19" s="324"/>
      <c r="N19" s="172">
        <f>E19*F19*(G19+I19)*(1/K19-1/L19)</f>
        <v>0</v>
      </c>
      <c r="O19" s="324">
        <v>15</v>
      </c>
      <c r="P19" s="183">
        <f>N19*O19</f>
        <v>0</v>
      </c>
      <c r="Q19" s="50"/>
      <c r="R19" s="202">
        <f>N19/1000</f>
        <v>0</v>
      </c>
    </row>
    <row r="20" spans="1:18" ht="21.75" customHeight="1" x14ac:dyDescent="0.35">
      <c r="A20" s="347"/>
      <c r="B20" s="306"/>
      <c r="C20" s="327"/>
      <c r="D20" s="98" t="s">
        <v>501</v>
      </c>
      <c r="E20" s="155"/>
      <c r="F20" s="155"/>
      <c r="G20" s="324">
        <v>150</v>
      </c>
      <c r="H20" s="324"/>
      <c r="I20" s="324">
        <v>30</v>
      </c>
      <c r="J20" s="324"/>
      <c r="K20" s="324"/>
      <c r="L20" s="324"/>
      <c r="M20" s="324"/>
      <c r="N20" s="172">
        <f>E20*F20*(G20+I20)*(1/K19-1/L19)</f>
        <v>0</v>
      </c>
      <c r="O20" s="324"/>
      <c r="P20" s="181">
        <f>N20*O19</f>
        <v>0</v>
      </c>
      <c r="Q20" s="50"/>
      <c r="R20" s="202">
        <f t="shared" ref="R20:R21" si="2">N20/1000</f>
        <v>0</v>
      </c>
    </row>
    <row r="21" spans="1:18" ht="20.25" customHeight="1" thickBot="1" x14ac:dyDescent="0.4">
      <c r="A21" s="347"/>
      <c r="B21" s="307"/>
      <c r="C21" s="319"/>
      <c r="D21" s="86" t="s">
        <v>502</v>
      </c>
      <c r="E21" s="162"/>
      <c r="F21" s="162"/>
      <c r="G21" s="313">
        <v>124</v>
      </c>
      <c r="H21" s="313"/>
      <c r="I21" s="313">
        <v>70</v>
      </c>
      <c r="J21" s="313"/>
      <c r="K21" s="313"/>
      <c r="L21" s="313"/>
      <c r="M21" s="313"/>
      <c r="N21" s="171">
        <f>E21*F21*(G21+I21)*(1/K19-1/L19)</f>
        <v>0</v>
      </c>
      <c r="O21" s="313"/>
      <c r="P21" s="184">
        <f>N21*O19</f>
        <v>0</v>
      </c>
      <c r="Q21" s="50"/>
      <c r="R21" s="200">
        <f t="shared" si="2"/>
        <v>0</v>
      </c>
    </row>
    <row r="22" spans="1:18" ht="25.5" customHeight="1" thickBot="1" x14ac:dyDescent="0.4">
      <c r="B22" s="50"/>
      <c r="C22" s="50"/>
      <c r="D22" s="50"/>
      <c r="E22" s="50"/>
      <c r="F22" s="50"/>
      <c r="G22" s="50"/>
      <c r="H22" s="50"/>
      <c r="I22" s="50"/>
      <c r="J22" s="50"/>
      <c r="K22" s="50"/>
      <c r="L22" s="50"/>
      <c r="M22" s="50"/>
      <c r="N22" s="50"/>
      <c r="O22" s="50"/>
      <c r="P22" s="50"/>
      <c r="Q22" s="50"/>
      <c r="R22" s="50"/>
    </row>
    <row r="23" spans="1:18" ht="77" customHeight="1" x14ac:dyDescent="0.35">
      <c r="B23" s="103" t="s">
        <v>432</v>
      </c>
      <c r="C23" s="310" t="s">
        <v>1</v>
      </c>
      <c r="D23" s="310"/>
      <c r="E23" s="153" t="s">
        <v>506</v>
      </c>
      <c r="F23" s="153" t="s">
        <v>510</v>
      </c>
      <c r="G23" s="153" t="s">
        <v>619</v>
      </c>
      <c r="H23" s="310" t="s">
        <v>508</v>
      </c>
      <c r="I23" s="310"/>
      <c r="J23" s="310" t="s">
        <v>509</v>
      </c>
      <c r="K23" s="310"/>
      <c r="L23" s="153" t="s">
        <v>446</v>
      </c>
      <c r="M23" s="153" t="s">
        <v>499</v>
      </c>
      <c r="N23" s="169" t="s">
        <v>587</v>
      </c>
      <c r="O23" s="153" t="s">
        <v>585</v>
      </c>
      <c r="P23" s="70" t="s">
        <v>590</v>
      </c>
      <c r="Q23" s="50"/>
      <c r="R23" s="196" t="s">
        <v>586</v>
      </c>
    </row>
    <row r="24" spans="1:18" ht="30" customHeight="1" x14ac:dyDescent="0.35">
      <c r="A24" s="347" t="s">
        <v>416</v>
      </c>
      <c r="B24" s="306" t="s">
        <v>507</v>
      </c>
      <c r="C24" s="327" t="s">
        <v>505</v>
      </c>
      <c r="D24" s="120" t="s">
        <v>500</v>
      </c>
      <c r="E24" s="155"/>
      <c r="F24" s="155"/>
      <c r="G24" s="150"/>
      <c r="H24" s="324">
        <v>150</v>
      </c>
      <c r="I24" s="324"/>
      <c r="J24" s="324">
        <v>60</v>
      </c>
      <c r="K24" s="324"/>
      <c r="L24" s="324">
        <v>0.8</v>
      </c>
      <c r="M24" s="324">
        <v>0.9</v>
      </c>
      <c r="N24" s="174">
        <f>E24*F24*G24*((H24+J24)/L24-(H24+J24)/M24)</f>
        <v>0</v>
      </c>
      <c r="O24" s="321">
        <v>15</v>
      </c>
      <c r="P24" s="183">
        <f>O24*N24</f>
        <v>0</v>
      </c>
      <c r="Q24" s="50"/>
      <c r="R24" s="202">
        <f>N24/1000</f>
        <v>0</v>
      </c>
    </row>
    <row r="25" spans="1:18" ht="21" customHeight="1" x14ac:dyDescent="0.35">
      <c r="A25" s="347"/>
      <c r="B25" s="306"/>
      <c r="C25" s="327"/>
      <c r="D25" s="63" t="s">
        <v>501</v>
      </c>
      <c r="E25" s="155"/>
      <c r="F25" s="155"/>
      <c r="G25" s="150"/>
      <c r="H25" s="324">
        <v>150</v>
      </c>
      <c r="I25" s="324"/>
      <c r="J25" s="324">
        <v>30</v>
      </c>
      <c r="K25" s="324"/>
      <c r="L25" s="324"/>
      <c r="M25" s="324"/>
      <c r="N25" s="174">
        <f>E25*F25*G25*((H25+J25)/L24-(H25+J25)/M24)</f>
        <v>0</v>
      </c>
      <c r="O25" s="322"/>
      <c r="P25" s="183">
        <f>O24*N25</f>
        <v>0</v>
      </c>
      <c r="Q25" s="50"/>
      <c r="R25" s="202">
        <f t="shared" ref="R25:R26" si="3">N25/1000</f>
        <v>0</v>
      </c>
    </row>
    <row r="26" spans="1:18" ht="21.75" customHeight="1" thickBot="1" x14ac:dyDescent="0.4">
      <c r="A26" s="347"/>
      <c r="B26" s="307"/>
      <c r="C26" s="319"/>
      <c r="D26" s="80" t="s">
        <v>502</v>
      </c>
      <c r="E26" s="162"/>
      <c r="F26" s="162"/>
      <c r="G26" s="215"/>
      <c r="H26" s="313">
        <v>124</v>
      </c>
      <c r="I26" s="313"/>
      <c r="J26" s="313">
        <v>70</v>
      </c>
      <c r="K26" s="313"/>
      <c r="L26" s="313"/>
      <c r="M26" s="313"/>
      <c r="N26" s="175">
        <f>E26*F26*G26*((H26+J26)/L24-(H26+J26)/M24)</f>
        <v>0</v>
      </c>
      <c r="O26" s="323"/>
      <c r="P26" s="180">
        <f>O24*N26</f>
        <v>0</v>
      </c>
      <c r="Q26" s="50"/>
      <c r="R26" s="200">
        <f t="shared" si="3"/>
        <v>0</v>
      </c>
    </row>
    <row r="27" spans="1:18" x14ac:dyDescent="0.35">
      <c r="B27" s="57"/>
      <c r="C27" s="57"/>
      <c r="D27" s="57"/>
      <c r="E27" s="50"/>
      <c r="F27" s="50"/>
      <c r="G27" s="51"/>
      <c r="H27" s="51"/>
      <c r="I27" s="51"/>
      <c r="J27" s="51"/>
      <c r="K27" s="51"/>
      <c r="L27" s="51"/>
      <c r="M27" s="50"/>
      <c r="N27" s="51"/>
      <c r="O27" s="50"/>
      <c r="P27" s="50"/>
      <c r="Q27" s="50"/>
      <c r="R27" s="50"/>
    </row>
    <row r="28" spans="1:18" ht="15" thickBot="1" x14ac:dyDescent="0.4">
      <c r="B28" s="57"/>
      <c r="C28" s="57"/>
      <c r="D28" s="57"/>
      <c r="E28" s="50"/>
      <c r="F28" s="50"/>
      <c r="G28" s="51"/>
      <c r="H28" s="51"/>
      <c r="I28" s="51"/>
      <c r="J28" s="51"/>
      <c r="K28" s="51"/>
      <c r="L28" s="51"/>
      <c r="M28" s="50"/>
      <c r="N28" s="51"/>
      <c r="O28" s="50"/>
      <c r="P28" s="50"/>
      <c r="Q28" s="50"/>
      <c r="R28" s="50"/>
    </row>
    <row r="29" spans="1:18" ht="72" customHeight="1" x14ac:dyDescent="0.35">
      <c r="B29" s="103" t="s">
        <v>432</v>
      </c>
      <c r="C29" s="310" t="s">
        <v>1</v>
      </c>
      <c r="D29" s="310"/>
      <c r="E29" s="310" t="s">
        <v>518</v>
      </c>
      <c r="F29" s="310"/>
      <c r="G29" s="310"/>
      <c r="H29" s="310" t="s">
        <v>519</v>
      </c>
      <c r="I29" s="310"/>
      <c r="J29" s="310" t="s">
        <v>520</v>
      </c>
      <c r="K29" s="310"/>
      <c r="L29" s="310" t="s">
        <v>521</v>
      </c>
      <c r="M29" s="310"/>
      <c r="N29" s="169" t="s">
        <v>587</v>
      </c>
      <c r="O29" s="153" t="s">
        <v>585</v>
      </c>
      <c r="P29" s="70" t="s">
        <v>590</v>
      </c>
      <c r="Q29" s="50"/>
      <c r="R29" s="196" t="s">
        <v>586</v>
      </c>
    </row>
    <row r="30" spans="1:18" ht="21.75" customHeight="1" x14ac:dyDescent="0.35">
      <c r="A30" s="170" t="s">
        <v>472</v>
      </c>
      <c r="B30" s="306" t="s">
        <v>516</v>
      </c>
      <c r="C30" s="327" t="s">
        <v>517</v>
      </c>
      <c r="D30" s="327"/>
      <c r="E30" s="325"/>
      <c r="F30" s="325"/>
      <c r="G30" s="325"/>
      <c r="H30" s="324">
        <v>8750</v>
      </c>
      <c r="I30" s="324"/>
      <c r="J30" s="324">
        <v>4375</v>
      </c>
      <c r="K30" s="324"/>
      <c r="L30" s="324">
        <v>0.8</v>
      </c>
      <c r="M30" s="324"/>
      <c r="N30" s="172">
        <f>((H30-J30)/L30)*E30</f>
        <v>0</v>
      </c>
      <c r="O30" s="154">
        <v>15</v>
      </c>
      <c r="P30" s="182">
        <f>N30*O30</f>
        <v>0</v>
      </c>
      <c r="Q30" s="50"/>
      <c r="R30" s="202">
        <f>N30/1000</f>
        <v>0</v>
      </c>
    </row>
    <row r="31" spans="1:18" ht="70" customHeight="1" x14ac:dyDescent="0.35">
      <c r="B31" s="306"/>
      <c r="C31" s="326" t="s">
        <v>1</v>
      </c>
      <c r="D31" s="326"/>
      <c r="E31" s="326" t="s">
        <v>523</v>
      </c>
      <c r="F31" s="326"/>
      <c r="G31" s="326" t="s">
        <v>522</v>
      </c>
      <c r="H31" s="326"/>
      <c r="I31" s="326" t="s">
        <v>524</v>
      </c>
      <c r="J31" s="326"/>
      <c r="K31" s="326" t="s">
        <v>525</v>
      </c>
      <c r="L31" s="326"/>
      <c r="M31" s="147" t="s">
        <v>526</v>
      </c>
      <c r="N31" s="169" t="s">
        <v>587</v>
      </c>
      <c r="O31" s="147" t="s">
        <v>585</v>
      </c>
      <c r="P31" s="148" t="s">
        <v>590</v>
      </c>
      <c r="Q31" s="50"/>
      <c r="R31" s="197" t="s">
        <v>586</v>
      </c>
    </row>
    <row r="32" spans="1:18" ht="20.25" customHeight="1" x14ac:dyDescent="0.35">
      <c r="A32" s="170" t="s">
        <v>494</v>
      </c>
      <c r="B32" s="306"/>
      <c r="C32" s="328" t="s">
        <v>555</v>
      </c>
      <c r="D32" s="328"/>
      <c r="E32" s="325"/>
      <c r="F32" s="325"/>
      <c r="G32" s="324">
        <v>130</v>
      </c>
      <c r="H32" s="324"/>
      <c r="I32" s="324">
        <v>13</v>
      </c>
      <c r="J32" s="324"/>
      <c r="K32" s="324">
        <v>0.52</v>
      </c>
      <c r="L32" s="324"/>
      <c r="M32" s="250">
        <v>192</v>
      </c>
      <c r="N32" s="172">
        <f>(G32-I32)*E32*M32*24*K32/1000</f>
        <v>0</v>
      </c>
      <c r="O32" s="98">
        <v>20</v>
      </c>
      <c r="P32" s="181">
        <f>N32*O32</f>
        <v>0</v>
      </c>
      <c r="Q32" s="50"/>
      <c r="R32" s="202">
        <f>N32/1000</f>
        <v>0</v>
      </c>
    </row>
    <row r="33" spans="1:18" ht="70.5" customHeight="1" x14ac:dyDescent="0.35">
      <c r="B33" s="306"/>
      <c r="C33" s="326" t="s">
        <v>1</v>
      </c>
      <c r="D33" s="326"/>
      <c r="E33" s="147" t="s">
        <v>510</v>
      </c>
      <c r="F33" s="147" t="s">
        <v>552</v>
      </c>
      <c r="G33" s="308" t="s">
        <v>527</v>
      </c>
      <c r="H33" s="308"/>
      <c r="I33" s="147" t="s">
        <v>528</v>
      </c>
      <c r="J33" s="308" t="s">
        <v>560</v>
      </c>
      <c r="K33" s="308"/>
      <c r="L33" s="308" t="s">
        <v>561</v>
      </c>
      <c r="M33" s="308"/>
      <c r="N33" s="169" t="s">
        <v>587</v>
      </c>
      <c r="O33" s="147" t="s">
        <v>585</v>
      </c>
      <c r="P33" s="148" t="s">
        <v>590</v>
      </c>
      <c r="Q33" s="50"/>
      <c r="R33" s="197" t="s">
        <v>586</v>
      </c>
    </row>
    <row r="34" spans="1:18" ht="52" customHeight="1" thickBot="1" x14ac:dyDescent="0.4">
      <c r="A34" s="170" t="s">
        <v>495</v>
      </c>
      <c r="B34" s="307"/>
      <c r="C34" s="302" t="s">
        <v>563</v>
      </c>
      <c r="D34" s="303"/>
      <c r="E34" s="162"/>
      <c r="F34" s="157">
        <v>150</v>
      </c>
      <c r="G34" s="313">
        <v>0.8</v>
      </c>
      <c r="H34" s="313"/>
      <c r="I34" s="157">
        <v>0.85</v>
      </c>
      <c r="J34" s="313">
        <v>0.85</v>
      </c>
      <c r="K34" s="313"/>
      <c r="L34" s="313">
        <v>0.93</v>
      </c>
      <c r="M34" s="313"/>
      <c r="N34" s="171">
        <f>E34*F34*1/(G34*I34)*(1/J34-1/L34)</f>
        <v>0</v>
      </c>
      <c r="O34" s="80">
        <v>10</v>
      </c>
      <c r="P34" s="180">
        <f>N34*O34</f>
        <v>0</v>
      </c>
      <c r="Q34" s="50"/>
      <c r="R34" s="200">
        <f>N34/1000</f>
        <v>0</v>
      </c>
    </row>
    <row r="35" spans="1:18" ht="15" thickBot="1" x14ac:dyDescent="0.4">
      <c r="B35" s="87"/>
      <c r="C35" s="57"/>
      <c r="D35" s="57"/>
      <c r="E35" s="50"/>
      <c r="F35" s="50"/>
      <c r="G35" s="51"/>
      <c r="H35" s="51"/>
      <c r="I35" s="51"/>
      <c r="J35" s="51"/>
      <c r="K35" s="51"/>
      <c r="L35" s="51"/>
      <c r="M35" s="50"/>
      <c r="N35" s="51"/>
      <c r="O35" s="50"/>
      <c r="P35" s="50"/>
      <c r="Q35" s="50"/>
      <c r="R35" s="50"/>
    </row>
    <row r="36" spans="1:18" ht="70" customHeight="1" x14ac:dyDescent="0.35">
      <c r="B36" s="64" t="s">
        <v>432</v>
      </c>
      <c r="C36" s="310" t="s">
        <v>1</v>
      </c>
      <c r="D36" s="310"/>
      <c r="E36" s="310" t="s">
        <v>510</v>
      </c>
      <c r="F36" s="310"/>
      <c r="G36" s="310"/>
      <c r="H36" s="298" t="s">
        <v>620</v>
      </c>
      <c r="I36" s="299"/>
      <c r="J36" s="298" t="s">
        <v>446</v>
      </c>
      <c r="K36" s="299"/>
      <c r="L36" s="298" t="s">
        <v>557</v>
      </c>
      <c r="M36" s="299"/>
      <c r="N36" s="65" t="s">
        <v>587</v>
      </c>
      <c r="O36" s="101" t="s">
        <v>585</v>
      </c>
      <c r="P36" s="66" t="s">
        <v>590</v>
      </c>
      <c r="Q36" s="50"/>
      <c r="R36" s="196" t="s">
        <v>586</v>
      </c>
    </row>
    <row r="37" spans="1:18" ht="30.5" customHeight="1" thickBot="1" x14ac:dyDescent="0.4">
      <c r="A37" s="170" t="s">
        <v>496</v>
      </c>
      <c r="B37" s="109" t="s">
        <v>556</v>
      </c>
      <c r="C37" s="319" t="s">
        <v>559</v>
      </c>
      <c r="D37" s="319"/>
      <c r="E37" s="320"/>
      <c r="F37" s="320"/>
      <c r="G37" s="320"/>
      <c r="H37" s="315">
        <v>150</v>
      </c>
      <c r="I37" s="316"/>
      <c r="J37" s="315">
        <v>0.8</v>
      </c>
      <c r="K37" s="316"/>
      <c r="L37" s="317">
        <v>0.9</v>
      </c>
      <c r="M37" s="318"/>
      <c r="N37" s="171">
        <f>E37*H37*(1/J37-1/L37)</f>
        <v>0</v>
      </c>
      <c r="O37" s="157">
        <v>15</v>
      </c>
      <c r="P37" s="179">
        <f>N37*O37</f>
        <v>0</v>
      </c>
      <c r="Q37" s="50"/>
      <c r="R37" s="200">
        <f>N37/1000</f>
        <v>0</v>
      </c>
    </row>
    <row r="38" spans="1:18" ht="15" thickBot="1" x14ac:dyDescent="0.4">
      <c r="B38" s="57"/>
      <c r="C38" s="57"/>
      <c r="D38" s="57"/>
      <c r="E38" s="50"/>
      <c r="F38" s="50"/>
      <c r="G38" s="51"/>
      <c r="H38" s="51"/>
      <c r="I38" s="51"/>
      <c r="J38" s="51"/>
      <c r="K38" s="51"/>
      <c r="L38" s="51"/>
      <c r="M38" s="50"/>
      <c r="N38" s="51"/>
      <c r="O38" s="50"/>
      <c r="P38" s="50"/>
      <c r="Q38" s="50"/>
      <c r="R38" s="50"/>
    </row>
    <row r="39" spans="1:18" ht="80" customHeight="1" x14ac:dyDescent="0.35">
      <c r="B39" s="64" t="s">
        <v>432</v>
      </c>
      <c r="C39" s="310" t="s">
        <v>1</v>
      </c>
      <c r="D39" s="310"/>
      <c r="E39" s="310" t="s">
        <v>621</v>
      </c>
      <c r="F39" s="310"/>
      <c r="G39" s="310"/>
      <c r="H39" s="310" t="s">
        <v>577</v>
      </c>
      <c r="I39" s="310"/>
      <c r="J39" s="310" t="s">
        <v>609</v>
      </c>
      <c r="K39" s="310"/>
      <c r="L39" s="101" t="s">
        <v>570</v>
      </c>
      <c r="M39" s="101" t="s">
        <v>571</v>
      </c>
      <c r="N39" s="65" t="s">
        <v>587</v>
      </c>
      <c r="O39" s="101" t="s">
        <v>585</v>
      </c>
      <c r="P39" s="66" t="s">
        <v>590</v>
      </c>
      <c r="Q39" s="50"/>
      <c r="R39" s="196" t="s">
        <v>586</v>
      </c>
    </row>
    <row r="40" spans="1:18" ht="78.5" customHeight="1" thickBot="1" x14ac:dyDescent="0.4">
      <c r="A40" s="170" t="s">
        <v>529</v>
      </c>
      <c r="B40" s="306" t="s">
        <v>574</v>
      </c>
      <c r="C40" s="314" t="s">
        <v>610</v>
      </c>
      <c r="D40" s="314"/>
      <c r="E40" s="311"/>
      <c r="F40" s="311"/>
      <c r="G40" s="311"/>
      <c r="H40" s="312">
        <v>150</v>
      </c>
      <c r="I40" s="312"/>
      <c r="J40" s="312">
        <v>30</v>
      </c>
      <c r="K40" s="312"/>
      <c r="L40" s="63">
        <v>0.6</v>
      </c>
      <c r="M40" s="63">
        <v>0.9</v>
      </c>
      <c r="N40" s="174">
        <f>E40*((H40+J40)/L40-(H40+J40)/M40)</f>
        <v>0</v>
      </c>
      <c r="O40" s="63">
        <v>30</v>
      </c>
      <c r="P40" s="183">
        <f>N40*O40</f>
        <v>0</v>
      </c>
      <c r="Q40" s="50"/>
      <c r="R40" s="200">
        <f>N40/1000</f>
        <v>0</v>
      </c>
    </row>
    <row r="41" spans="1:18" ht="76.5" customHeight="1" x14ac:dyDescent="0.35">
      <c r="B41" s="306"/>
      <c r="C41" s="304" t="s">
        <v>1</v>
      </c>
      <c r="D41" s="304"/>
      <c r="E41" s="158" t="s">
        <v>572</v>
      </c>
      <c r="F41" s="308" t="s">
        <v>576</v>
      </c>
      <c r="G41" s="308"/>
      <c r="H41" s="308" t="s">
        <v>577</v>
      </c>
      <c r="I41" s="308"/>
      <c r="J41" s="308" t="s">
        <v>609</v>
      </c>
      <c r="K41" s="308"/>
      <c r="L41" s="158" t="s">
        <v>570</v>
      </c>
      <c r="M41" s="158" t="s">
        <v>573</v>
      </c>
      <c r="N41" s="169" t="s">
        <v>587</v>
      </c>
      <c r="O41" s="158" t="s">
        <v>585</v>
      </c>
      <c r="P41" s="192" t="s">
        <v>590</v>
      </c>
      <c r="Q41" s="50"/>
      <c r="R41" s="196" t="s">
        <v>586</v>
      </c>
    </row>
    <row r="42" spans="1:18" ht="90.5" customHeight="1" thickBot="1" x14ac:dyDescent="0.4">
      <c r="A42" s="170" t="s">
        <v>558</v>
      </c>
      <c r="B42" s="307"/>
      <c r="C42" s="305" t="s">
        <v>611</v>
      </c>
      <c r="D42" s="305"/>
      <c r="E42" s="214"/>
      <c r="F42" s="309"/>
      <c r="G42" s="309"/>
      <c r="H42" s="313">
        <v>150</v>
      </c>
      <c r="I42" s="313"/>
      <c r="J42" s="313">
        <v>60</v>
      </c>
      <c r="K42" s="313"/>
      <c r="L42" s="157">
        <v>0.6</v>
      </c>
      <c r="M42" s="157">
        <v>0.9</v>
      </c>
      <c r="N42" s="171">
        <f>E42*F42*((H42+J42)/L42-(H42+J42)/M42)</f>
        <v>0</v>
      </c>
      <c r="O42" s="157">
        <v>30</v>
      </c>
      <c r="P42" s="179">
        <f>N42*O42</f>
        <v>0</v>
      </c>
      <c r="Q42" s="50"/>
      <c r="R42" s="200">
        <f>N42/1000</f>
        <v>0</v>
      </c>
    </row>
    <row r="43" spans="1:18" ht="15" thickBot="1" x14ac:dyDescent="0.4"/>
    <row r="44" spans="1:18" s="23" customFormat="1" ht="90.5" customHeight="1" x14ac:dyDescent="0.35">
      <c r="A44" s="278"/>
      <c r="B44" s="103" t="s">
        <v>432</v>
      </c>
      <c r="C44" s="273" t="s">
        <v>1</v>
      </c>
      <c r="D44" s="226" t="s">
        <v>552</v>
      </c>
      <c r="E44" s="226" t="s">
        <v>659</v>
      </c>
      <c r="F44" s="226" t="s">
        <v>652</v>
      </c>
      <c r="G44" s="226" t="s">
        <v>651</v>
      </c>
      <c r="H44" s="298" t="s">
        <v>655</v>
      </c>
      <c r="I44" s="299"/>
      <c r="J44" s="226" t="s">
        <v>656</v>
      </c>
      <c r="K44" s="226" t="s">
        <v>650</v>
      </c>
      <c r="L44" s="226" t="s">
        <v>657</v>
      </c>
      <c r="M44" s="226" t="s">
        <v>658</v>
      </c>
      <c r="N44" s="274" t="s">
        <v>587</v>
      </c>
      <c r="O44" s="226" t="s">
        <v>585</v>
      </c>
      <c r="P44" s="70" t="s">
        <v>590</v>
      </c>
      <c r="R44" s="275" t="s">
        <v>586</v>
      </c>
    </row>
    <row r="45" spans="1:18" ht="52.5" thickBot="1" x14ac:dyDescent="0.4">
      <c r="A45" s="170" t="s">
        <v>562</v>
      </c>
      <c r="B45" s="109" t="s">
        <v>649</v>
      </c>
      <c r="C45" s="128" t="s">
        <v>654</v>
      </c>
      <c r="D45" s="117">
        <v>150</v>
      </c>
      <c r="E45" s="229"/>
      <c r="F45" s="117">
        <v>0.8</v>
      </c>
      <c r="G45" s="117">
        <v>0.85</v>
      </c>
      <c r="H45" s="300"/>
      <c r="I45" s="301"/>
      <c r="J45" s="117">
        <v>1.8</v>
      </c>
      <c r="K45" s="225">
        <v>192</v>
      </c>
      <c r="L45" s="229"/>
      <c r="M45" s="229"/>
      <c r="N45" s="171">
        <f>D45*E45*(1/(F45*G45))*(H45*(J45/100)*(K45*(L45+M45)/(K45*24)))</f>
        <v>0</v>
      </c>
      <c r="O45" s="248">
        <v>10</v>
      </c>
      <c r="P45" s="179">
        <f>N45*O45</f>
        <v>0</v>
      </c>
      <c r="R45" s="249">
        <f>N45/1000</f>
        <v>0</v>
      </c>
    </row>
  </sheetData>
  <sheetProtection algorithmName="SHA-512" hashValue="j1KGrL5qLWPYvrLp0X+w2Hhav4omDTLFy7zYPk0ZgWyL9D5kxO1ykgwh2U+OKO0e5QjGGItGP0OPhN9Px4lWCg==" saltValue="wDo8WaboOJ9TbQOjwocmBg==" spinCount="100000" sheet="1" autoFilter="0"/>
  <mergeCells count="125">
    <mergeCell ref="A11:A16"/>
    <mergeCell ref="A19:A21"/>
    <mergeCell ref="A24:A26"/>
    <mergeCell ref="C7:D7"/>
    <mergeCell ref="C8:D8"/>
    <mergeCell ref="B19:B21"/>
    <mergeCell ref="C3:D3"/>
    <mergeCell ref="C4:D4"/>
    <mergeCell ref="B24:B26"/>
    <mergeCell ref="C23:D23"/>
    <mergeCell ref="C24:C26"/>
    <mergeCell ref="K3:M3"/>
    <mergeCell ref="K4:M4"/>
    <mergeCell ref="H3:J3"/>
    <mergeCell ref="H4:J4"/>
    <mergeCell ref="E3:G3"/>
    <mergeCell ref="E4:G4"/>
    <mergeCell ref="L7:M7"/>
    <mergeCell ref="L8:M8"/>
    <mergeCell ref="J7:K7"/>
    <mergeCell ref="H23:I23"/>
    <mergeCell ref="J8:K8"/>
    <mergeCell ref="G7:I7"/>
    <mergeCell ref="G8:I8"/>
    <mergeCell ref="L19:M21"/>
    <mergeCell ref="H24:I24"/>
    <mergeCell ref="H25:I25"/>
    <mergeCell ref="H26:I26"/>
    <mergeCell ref="M24:M26"/>
    <mergeCell ref="L24:L26"/>
    <mergeCell ref="J23:K23"/>
    <mergeCell ref="J24:K24"/>
    <mergeCell ref="J25:K25"/>
    <mergeCell ref="J26:K26"/>
    <mergeCell ref="H11:H13"/>
    <mergeCell ref="G14:G16"/>
    <mergeCell ref="G11:G13"/>
    <mergeCell ref="G18:H18"/>
    <mergeCell ref="G19:H19"/>
    <mergeCell ref="G20:H20"/>
    <mergeCell ref="K19:K21"/>
    <mergeCell ref="H14:H16"/>
    <mergeCell ref="B1:P1"/>
    <mergeCell ref="C11:C13"/>
    <mergeCell ref="C14:C16"/>
    <mergeCell ref="O19:O21"/>
    <mergeCell ref="C10:D10"/>
    <mergeCell ref="L11:L13"/>
    <mergeCell ref="L14:L16"/>
    <mergeCell ref="M11:M13"/>
    <mergeCell ref="M14:M16"/>
    <mergeCell ref="K11:K13"/>
    <mergeCell ref="K14:K16"/>
    <mergeCell ref="I18:J18"/>
    <mergeCell ref="I19:J19"/>
    <mergeCell ref="I20:J20"/>
    <mergeCell ref="I21:J21"/>
    <mergeCell ref="C19:C21"/>
    <mergeCell ref="C18:D18"/>
    <mergeCell ref="L18:M18"/>
    <mergeCell ref="G21:H21"/>
    <mergeCell ref="F11:F13"/>
    <mergeCell ref="F14:F16"/>
    <mergeCell ref="B11:B16"/>
    <mergeCell ref="E7:F7"/>
    <mergeCell ref="E8:F8"/>
    <mergeCell ref="K31:L31"/>
    <mergeCell ref="K32:L32"/>
    <mergeCell ref="I31:J31"/>
    <mergeCell ref="I32:J32"/>
    <mergeCell ref="G31:H31"/>
    <mergeCell ref="G32:H32"/>
    <mergeCell ref="C29:D29"/>
    <mergeCell ref="C30:D30"/>
    <mergeCell ref="C32:D32"/>
    <mergeCell ref="C31:D31"/>
    <mergeCell ref="L36:M36"/>
    <mergeCell ref="L37:M37"/>
    <mergeCell ref="C36:D36"/>
    <mergeCell ref="E36:G36"/>
    <mergeCell ref="C37:D37"/>
    <mergeCell ref="E37:G37"/>
    <mergeCell ref="O24:O26"/>
    <mergeCell ref="L29:M29"/>
    <mergeCell ref="L30:M30"/>
    <mergeCell ref="J29:K29"/>
    <mergeCell ref="J30:K30"/>
    <mergeCell ref="H29:I29"/>
    <mergeCell ref="H30:I30"/>
    <mergeCell ref="E29:G29"/>
    <mergeCell ref="E30:G30"/>
    <mergeCell ref="L33:M33"/>
    <mergeCell ref="L34:M34"/>
    <mergeCell ref="J33:K33"/>
    <mergeCell ref="J34:K34"/>
    <mergeCell ref="G33:H33"/>
    <mergeCell ref="G34:H34"/>
    <mergeCell ref="E31:F31"/>
    <mergeCell ref="E32:F32"/>
    <mergeCell ref="C33:D33"/>
    <mergeCell ref="J39:K39"/>
    <mergeCell ref="J41:K41"/>
    <mergeCell ref="J40:K40"/>
    <mergeCell ref="J42:K42"/>
    <mergeCell ref="C39:D39"/>
    <mergeCell ref="C40:D40"/>
    <mergeCell ref="H36:I36"/>
    <mergeCell ref="H37:I37"/>
    <mergeCell ref="J36:K36"/>
    <mergeCell ref="J37:K37"/>
    <mergeCell ref="H44:I44"/>
    <mergeCell ref="H45:I45"/>
    <mergeCell ref="C34:D34"/>
    <mergeCell ref="C41:D41"/>
    <mergeCell ref="C42:D42"/>
    <mergeCell ref="B40:B42"/>
    <mergeCell ref="F41:G41"/>
    <mergeCell ref="F42:G42"/>
    <mergeCell ref="E39:G39"/>
    <mergeCell ref="E40:G40"/>
    <mergeCell ref="H39:I39"/>
    <mergeCell ref="H40:I40"/>
    <mergeCell ref="H41:I41"/>
    <mergeCell ref="H42:I42"/>
    <mergeCell ref="B30:B34"/>
  </mergeCells>
  <dataValidations count="4">
    <dataValidation type="list" showInputMessage="1" showErrorMessage="1" sqref="G14 G11" xr:uid="{00000000-0002-0000-0100-000001000000}">
      <formula1>"8,9,10,11,12,13,14,15,16,17,18,19,20,21,22,23,24,25,26,27,28"</formula1>
    </dataValidation>
    <dataValidation allowBlank="1" showInputMessage="1" showErrorMessage="1" prompt="Aprēķina kā attiecību starp konkrēta kurināmā veida saražoto siltumenerģiju un  kopējo saražoto siltumenerģiju objektā" sqref="G24:G26" xr:uid="{00000000-0002-0000-0100-000002000000}"/>
    <dataValidation allowBlank="1" showInputMessage="1" showErrorMessage="1" prompt="Ieteicams izmantot būvnormatīvu LBN 003-19 &quot;Būvklimatoloģija&quot;" sqref="K45 M32 F14:F16 F11:F13" xr:uid="{EC069CA4-1C41-4197-B05F-25EF714E8C52}"/>
    <dataValidation type="list" showInputMessage="1" showErrorMessage="1" prompt="Ieteicams izmantot būvnormatīvu LBN 003-19 &quot;Būvklimatoloģija&quot;" sqref="H11:H16" xr:uid="{D4648B3E-7289-4077-9F65-586FB3F3D717}">
      <mc:AlternateContent xmlns:x12ac="http://schemas.microsoft.com/office/spreadsheetml/2011/1/ac" xmlns:mc="http://schemas.openxmlformats.org/markup-compatibility/2006">
        <mc:Choice Requires="x12ac">
          <x12ac:list>-0.9,"-0,5",-0.3,-0.2,-0.1,0.1,0.6,0.7,0.8,0.9,1.1,1.4,1.7,1.9,2,2.1</x12ac:list>
        </mc:Choice>
        <mc:Fallback>
          <formula1>"-0.9,-0,5,-0.3,-0.2,-0.1,0.1,0.6,0.7,0.8,0.9,1.1,1.4,1.7,1.9,2,2.1"</formula1>
        </mc:Fallback>
      </mc:AlternateContent>
    </dataValidation>
  </dataValidations>
  <pageMargins left="0.7" right="0.7" top="0.75" bottom="0.75" header="0.3" footer="0.3"/>
  <pageSetup paperSize="9" scale="5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theme="3" tint="0.39997558519241921"/>
  </sheetPr>
  <dimension ref="A1:P31"/>
  <sheetViews>
    <sheetView zoomScaleNormal="100" workbookViewId="0"/>
  </sheetViews>
  <sheetFormatPr defaultColWidth="9.1796875" defaultRowHeight="14.5" x14ac:dyDescent="0.35"/>
  <cols>
    <col min="1" max="1" width="3.453125" style="48" customWidth="1"/>
    <col min="2" max="2" width="15.81640625" style="2" customWidth="1"/>
    <col min="3" max="3" width="35.453125" style="2" customWidth="1"/>
    <col min="4" max="4" width="18" style="2" customWidth="1"/>
    <col min="5" max="5" width="17.54296875" style="2" customWidth="1"/>
    <col min="6" max="6" width="19.1796875" style="2" customWidth="1"/>
    <col min="7" max="7" width="16.54296875" style="23" customWidth="1"/>
    <col min="8" max="8" width="15.26953125" style="23" customWidth="1"/>
    <col min="9" max="9" width="16.54296875" style="23" customWidth="1"/>
    <col min="10" max="10" width="11.81640625" style="23" customWidth="1"/>
    <col min="11" max="11" width="12.7265625" style="23" customWidth="1"/>
    <col min="12" max="12" width="11.453125" style="2" customWidth="1"/>
    <col min="13" max="13" width="13.7265625" style="2" customWidth="1"/>
    <col min="14" max="14" width="13.08984375" style="2" customWidth="1"/>
    <col min="15" max="15" width="9.1796875" style="2"/>
    <col min="16" max="16" width="11.6328125" style="2" customWidth="1"/>
    <col min="17" max="16384" width="9.1796875" style="2"/>
  </cols>
  <sheetData>
    <row r="1" spans="1:16" ht="21.5" thickBot="1" x14ac:dyDescent="0.55000000000000004">
      <c r="B1" s="377" t="s">
        <v>461</v>
      </c>
      <c r="C1" s="378"/>
      <c r="D1" s="378"/>
      <c r="E1" s="378"/>
      <c r="F1" s="378"/>
      <c r="G1" s="378"/>
      <c r="H1" s="378"/>
      <c r="I1" s="378"/>
      <c r="J1" s="378"/>
      <c r="K1" s="378"/>
      <c r="L1" s="378"/>
      <c r="M1" s="378"/>
      <c r="N1" s="379"/>
    </row>
    <row r="2" spans="1:16" ht="15" thickBot="1" x14ac:dyDescent="0.4">
      <c r="G2" s="2"/>
      <c r="H2" s="2"/>
      <c r="I2" s="2"/>
      <c r="J2" s="2"/>
      <c r="K2" s="2"/>
    </row>
    <row r="3" spans="1:16" ht="67" customHeight="1" x14ac:dyDescent="0.35">
      <c r="B3" s="76" t="s">
        <v>466</v>
      </c>
      <c r="C3" s="163" t="s">
        <v>467</v>
      </c>
      <c r="D3" s="163" t="s">
        <v>437</v>
      </c>
      <c r="E3" s="380" t="s">
        <v>595</v>
      </c>
      <c r="F3" s="380"/>
      <c r="G3" s="380" t="s">
        <v>596</v>
      </c>
      <c r="H3" s="380"/>
      <c r="I3" s="163" t="s">
        <v>597</v>
      </c>
      <c r="J3" s="163" t="s">
        <v>598</v>
      </c>
      <c r="K3" s="163" t="s">
        <v>599</v>
      </c>
      <c r="L3" s="77" t="s">
        <v>589</v>
      </c>
      <c r="M3" s="163" t="s">
        <v>585</v>
      </c>
      <c r="N3" s="78" t="s">
        <v>590</v>
      </c>
      <c r="P3" s="196" t="s">
        <v>586</v>
      </c>
    </row>
    <row r="4" spans="1:16" ht="30.75" customHeight="1" x14ac:dyDescent="0.35">
      <c r="A4" s="48" t="s">
        <v>412</v>
      </c>
      <c r="B4" s="306" t="s">
        <v>6</v>
      </c>
      <c r="C4" s="118" t="s">
        <v>436</v>
      </c>
      <c r="D4" s="155"/>
      <c r="E4" s="324">
        <v>250</v>
      </c>
      <c r="F4" s="324"/>
      <c r="G4" s="324">
        <v>175</v>
      </c>
      <c r="H4" s="324"/>
      <c r="I4" s="62">
        <v>0.5</v>
      </c>
      <c r="J4" s="62">
        <v>0.35</v>
      </c>
      <c r="K4" s="154">
        <v>8000</v>
      </c>
      <c r="L4" s="172">
        <f>D4*(E4*K4-G4*K4*I4*J4)/1000</f>
        <v>0</v>
      </c>
      <c r="M4" s="154">
        <v>7</v>
      </c>
      <c r="N4" s="182">
        <f>L4*M4</f>
        <v>0</v>
      </c>
      <c r="P4" s="202">
        <f>L4/1000</f>
        <v>0</v>
      </c>
    </row>
    <row r="5" spans="1:16" ht="28.5" customHeight="1" thickBot="1" x14ac:dyDescent="0.4">
      <c r="A5" s="48" t="s">
        <v>413</v>
      </c>
      <c r="B5" s="307"/>
      <c r="C5" s="119" t="s">
        <v>464</v>
      </c>
      <c r="D5" s="162"/>
      <c r="E5" s="313">
        <v>300</v>
      </c>
      <c r="F5" s="313"/>
      <c r="G5" s="313">
        <v>175</v>
      </c>
      <c r="H5" s="313"/>
      <c r="I5" s="79">
        <v>0.5</v>
      </c>
      <c r="J5" s="79">
        <v>0.35</v>
      </c>
      <c r="K5" s="157">
        <v>8000</v>
      </c>
      <c r="L5" s="171">
        <f>D5*(E5*K5-G5*K5*I5*J5)/1000</f>
        <v>0</v>
      </c>
      <c r="M5" s="157">
        <v>7</v>
      </c>
      <c r="N5" s="179">
        <f>L5*M5</f>
        <v>0</v>
      </c>
      <c r="P5" s="200">
        <f>L5/1000</f>
        <v>0</v>
      </c>
    </row>
    <row r="6" spans="1:16" ht="15" thickBot="1" x14ac:dyDescent="0.4">
      <c r="B6" s="50"/>
      <c r="C6" s="50"/>
      <c r="D6" s="50"/>
      <c r="E6" s="58"/>
      <c r="F6" s="58"/>
      <c r="G6" s="58"/>
      <c r="H6" s="58"/>
      <c r="I6" s="58"/>
      <c r="J6" s="49"/>
      <c r="K6" s="49"/>
      <c r="L6" s="58"/>
      <c r="M6" s="58"/>
      <c r="N6" s="49"/>
    </row>
    <row r="7" spans="1:16" ht="67" customHeight="1" x14ac:dyDescent="0.35">
      <c r="B7" s="72" t="s">
        <v>466</v>
      </c>
      <c r="C7" s="73" t="s">
        <v>467</v>
      </c>
      <c r="D7" s="73" t="s">
        <v>554</v>
      </c>
      <c r="E7" s="368" t="s">
        <v>552</v>
      </c>
      <c r="F7" s="368"/>
      <c r="G7" s="368" t="s">
        <v>509</v>
      </c>
      <c r="H7" s="368"/>
      <c r="I7" s="73" t="s">
        <v>438</v>
      </c>
      <c r="J7" s="368" t="s">
        <v>439</v>
      </c>
      <c r="K7" s="368"/>
      <c r="L7" s="74" t="s">
        <v>589</v>
      </c>
      <c r="M7" s="161" t="s">
        <v>585</v>
      </c>
      <c r="N7" s="75" t="s">
        <v>590</v>
      </c>
      <c r="P7" s="196" t="s">
        <v>586</v>
      </c>
    </row>
    <row r="8" spans="1:16" ht="39" customHeight="1" x14ac:dyDescent="0.35">
      <c r="A8" s="48" t="s">
        <v>414</v>
      </c>
      <c r="B8" s="370" t="s">
        <v>465</v>
      </c>
      <c r="C8" s="120" t="s">
        <v>468</v>
      </c>
      <c r="D8" s="105"/>
      <c r="E8" s="324">
        <v>50</v>
      </c>
      <c r="F8" s="324"/>
      <c r="G8" s="324">
        <v>20</v>
      </c>
      <c r="H8" s="324"/>
      <c r="I8" s="324">
        <v>0.8</v>
      </c>
      <c r="J8" s="324">
        <v>0.9</v>
      </c>
      <c r="K8" s="324"/>
      <c r="L8" s="172">
        <f>D8*((E8+G8)/I8-(E8+G8)/J8)</f>
        <v>0</v>
      </c>
      <c r="M8" s="90" t="s">
        <v>551</v>
      </c>
      <c r="N8" s="189"/>
      <c r="P8" s="202">
        <f>L8/1000</f>
        <v>0</v>
      </c>
    </row>
    <row r="9" spans="1:16" ht="40.5" customHeight="1" thickBot="1" x14ac:dyDescent="0.4">
      <c r="A9" s="253" t="s">
        <v>415</v>
      </c>
      <c r="B9" s="370"/>
      <c r="C9" s="120" t="s">
        <v>469</v>
      </c>
      <c r="D9" s="105"/>
      <c r="E9" s="324">
        <v>150</v>
      </c>
      <c r="F9" s="324"/>
      <c r="G9" s="324">
        <v>40</v>
      </c>
      <c r="H9" s="324"/>
      <c r="I9" s="324"/>
      <c r="J9" s="324"/>
      <c r="K9" s="324"/>
      <c r="L9" s="172">
        <f>D9*((E9+G9)/I8-(E9+G9)/J8)</f>
        <v>0</v>
      </c>
      <c r="M9" s="90" t="s">
        <v>551</v>
      </c>
      <c r="N9" s="189"/>
      <c r="P9" s="202">
        <f>L9/1000</f>
        <v>0</v>
      </c>
    </row>
    <row r="10" spans="1:16" ht="72" customHeight="1" x14ac:dyDescent="0.35">
      <c r="B10" s="370"/>
      <c r="C10" s="121" t="s">
        <v>467</v>
      </c>
      <c r="D10" s="372" t="s">
        <v>553</v>
      </c>
      <c r="E10" s="372"/>
      <c r="F10" s="121" t="s">
        <v>440</v>
      </c>
      <c r="G10" s="121" t="s">
        <v>552</v>
      </c>
      <c r="H10" s="372" t="s">
        <v>509</v>
      </c>
      <c r="I10" s="372"/>
      <c r="J10" s="121" t="s">
        <v>438</v>
      </c>
      <c r="K10" s="121" t="s">
        <v>439</v>
      </c>
      <c r="L10" s="122" t="s">
        <v>589</v>
      </c>
      <c r="M10" s="160" t="s">
        <v>585</v>
      </c>
      <c r="N10" s="123" t="s">
        <v>590</v>
      </c>
      <c r="P10" s="196" t="s">
        <v>586</v>
      </c>
    </row>
    <row r="11" spans="1:16" ht="42" customHeight="1" x14ac:dyDescent="0.35">
      <c r="A11" s="48" t="s">
        <v>416</v>
      </c>
      <c r="B11" s="370"/>
      <c r="C11" s="116" t="s">
        <v>470</v>
      </c>
      <c r="D11" s="325"/>
      <c r="E11" s="325"/>
      <c r="F11" s="105"/>
      <c r="G11" s="63">
        <v>50</v>
      </c>
      <c r="H11" s="375">
        <v>60</v>
      </c>
      <c r="I11" s="375"/>
      <c r="J11" s="324">
        <v>0.8</v>
      </c>
      <c r="K11" s="324">
        <v>0.9</v>
      </c>
      <c r="L11" s="172">
        <f>D11*F11*((G11+H11)/J11-(G11+H11)/K11)</f>
        <v>0</v>
      </c>
      <c r="M11" s="90" t="s">
        <v>551</v>
      </c>
      <c r="N11" s="190"/>
      <c r="P11" s="202">
        <f>L11/1000</f>
        <v>0</v>
      </c>
    </row>
    <row r="12" spans="1:16" ht="39.75" customHeight="1" thickBot="1" x14ac:dyDescent="0.4">
      <c r="A12" s="253" t="s">
        <v>472</v>
      </c>
      <c r="B12" s="371"/>
      <c r="C12" s="124" t="s">
        <v>471</v>
      </c>
      <c r="D12" s="320"/>
      <c r="E12" s="320"/>
      <c r="F12" s="106"/>
      <c r="G12" s="80">
        <v>150</v>
      </c>
      <c r="H12" s="376">
        <v>40</v>
      </c>
      <c r="I12" s="376"/>
      <c r="J12" s="313"/>
      <c r="K12" s="313"/>
      <c r="L12" s="171">
        <f>D12*F12*((G12+H12)/J11-(G12+H12)/K11)</f>
        <v>0</v>
      </c>
      <c r="M12" s="117" t="s">
        <v>551</v>
      </c>
      <c r="N12" s="191"/>
      <c r="P12" s="200">
        <f>L12/1000</f>
        <v>0</v>
      </c>
    </row>
    <row r="13" spans="1:16" ht="15" thickBot="1" x14ac:dyDescent="0.4"/>
    <row r="14" spans="1:16" ht="70.5" customHeight="1" x14ac:dyDescent="0.35">
      <c r="B14" s="72" t="s">
        <v>466</v>
      </c>
      <c r="C14" s="73" t="s">
        <v>467</v>
      </c>
      <c r="D14" s="368" t="s">
        <v>480</v>
      </c>
      <c r="E14" s="368"/>
      <c r="F14" s="73" t="s">
        <v>475</v>
      </c>
      <c r="G14" s="73" t="s">
        <v>476</v>
      </c>
      <c r="H14" s="73" t="s">
        <v>477</v>
      </c>
      <c r="I14" s="369" t="s">
        <v>478</v>
      </c>
      <c r="J14" s="369"/>
      <c r="K14" s="73" t="s">
        <v>479</v>
      </c>
      <c r="L14" s="74" t="s">
        <v>589</v>
      </c>
      <c r="M14" s="161" t="s">
        <v>585</v>
      </c>
      <c r="N14" s="75" t="s">
        <v>590</v>
      </c>
      <c r="P14" s="196" t="s">
        <v>586</v>
      </c>
    </row>
    <row r="15" spans="1:16" ht="27" thickBot="1" x14ac:dyDescent="0.4">
      <c r="A15" s="48" t="s">
        <v>494</v>
      </c>
      <c r="B15" s="306" t="s">
        <v>473</v>
      </c>
      <c r="C15" s="116" t="s">
        <v>474</v>
      </c>
      <c r="D15" s="325"/>
      <c r="E15" s="325"/>
      <c r="F15" s="230">
        <v>300</v>
      </c>
      <c r="G15" s="230">
        <v>2000</v>
      </c>
      <c r="H15" s="62">
        <v>0.6</v>
      </c>
      <c r="I15" s="374">
        <v>0.6</v>
      </c>
      <c r="J15" s="374"/>
      <c r="K15" s="62">
        <v>0.85</v>
      </c>
      <c r="L15" s="172">
        <f>F15*G15*H15*(1/I15-1/K15)*D15</f>
        <v>0</v>
      </c>
      <c r="M15" s="230">
        <v>10</v>
      </c>
      <c r="N15" s="183">
        <f>L15*M15</f>
        <v>0</v>
      </c>
      <c r="O15" s="50"/>
      <c r="P15" s="202">
        <f>L15/1000</f>
        <v>0</v>
      </c>
    </row>
    <row r="16" spans="1:16" ht="91" customHeight="1" x14ac:dyDescent="0.35">
      <c r="B16" s="306"/>
      <c r="C16" s="125" t="s">
        <v>467</v>
      </c>
      <c r="D16" s="125" t="s">
        <v>488</v>
      </c>
      <c r="E16" s="125" t="s">
        <v>482</v>
      </c>
      <c r="F16" s="125" t="s">
        <v>483</v>
      </c>
      <c r="G16" s="125" t="s">
        <v>476</v>
      </c>
      <c r="H16" s="125" t="s">
        <v>484</v>
      </c>
      <c r="I16" s="125" t="s">
        <v>485</v>
      </c>
      <c r="J16" s="125" t="s">
        <v>486</v>
      </c>
      <c r="K16" s="125" t="s">
        <v>487</v>
      </c>
      <c r="L16" s="126" t="s">
        <v>589</v>
      </c>
      <c r="M16" s="125" t="s">
        <v>585</v>
      </c>
      <c r="N16" s="127" t="s">
        <v>590</v>
      </c>
      <c r="O16" s="50"/>
      <c r="P16" s="196" t="s">
        <v>586</v>
      </c>
    </row>
    <row r="17" spans="1:16" ht="32.25" customHeight="1" thickBot="1" x14ac:dyDescent="0.4">
      <c r="A17" s="48" t="s">
        <v>495</v>
      </c>
      <c r="B17" s="306"/>
      <c r="C17" s="116" t="s">
        <v>481</v>
      </c>
      <c r="D17" s="231"/>
      <c r="E17" s="230">
        <v>300</v>
      </c>
      <c r="F17" s="230">
        <v>250</v>
      </c>
      <c r="G17" s="230">
        <v>2000</v>
      </c>
      <c r="H17" s="62">
        <v>0.6</v>
      </c>
      <c r="I17" s="62">
        <v>0.6</v>
      </c>
      <c r="J17" s="62">
        <v>0.6</v>
      </c>
      <c r="K17" s="62">
        <v>0.85</v>
      </c>
      <c r="L17" s="172">
        <f>((E17*H17)/J17-(F17*I17)/K17)*G17*D17</f>
        <v>0</v>
      </c>
      <c r="M17" s="227">
        <v>10</v>
      </c>
      <c r="N17" s="183">
        <f>L17*M17</f>
        <v>0</v>
      </c>
      <c r="O17" s="50"/>
      <c r="P17" s="202">
        <f>L17/1000</f>
        <v>0</v>
      </c>
    </row>
    <row r="18" spans="1:16" ht="69" customHeight="1" x14ac:dyDescent="0.35">
      <c r="B18" s="306"/>
      <c r="C18" s="233" t="s">
        <v>467</v>
      </c>
      <c r="D18" s="372" t="s">
        <v>493</v>
      </c>
      <c r="E18" s="372"/>
      <c r="F18" s="233" t="s">
        <v>490</v>
      </c>
      <c r="G18" s="233" t="s">
        <v>476</v>
      </c>
      <c r="H18" s="372" t="s">
        <v>491</v>
      </c>
      <c r="I18" s="372"/>
      <c r="J18" s="372" t="s">
        <v>492</v>
      </c>
      <c r="K18" s="372"/>
      <c r="L18" s="122" t="s">
        <v>589</v>
      </c>
      <c r="M18" s="233" t="s">
        <v>585</v>
      </c>
      <c r="N18" s="123" t="s">
        <v>590</v>
      </c>
      <c r="O18" s="50"/>
      <c r="P18" s="196" t="s">
        <v>586</v>
      </c>
    </row>
    <row r="19" spans="1:16" ht="28.5" customHeight="1" thickBot="1" x14ac:dyDescent="0.4">
      <c r="A19" s="48" t="s">
        <v>496</v>
      </c>
      <c r="B19" s="307"/>
      <c r="C19" s="128" t="s">
        <v>489</v>
      </c>
      <c r="D19" s="320"/>
      <c r="E19" s="320"/>
      <c r="F19" s="228">
        <v>300</v>
      </c>
      <c r="G19" s="228">
        <v>2000</v>
      </c>
      <c r="H19" s="373">
        <v>0.2</v>
      </c>
      <c r="I19" s="373"/>
      <c r="J19" s="373">
        <v>0.85</v>
      </c>
      <c r="K19" s="373"/>
      <c r="L19" s="171">
        <f>F19*G19*H19*1/J19*D19</f>
        <v>0</v>
      </c>
      <c r="M19" s="228">
        <v>10</v>
      </c>
      <c r="N19" s="179">
        <f>M19*L19</f>
        <v>0</v>
      </c>
      <c r="O19" s="50"/>
      <c r="P19" s="200">
        <f>L19/1000</f>
        <v>0</v>
      </c>
    </row>
    <row r="20" spans="1:16" ht="15" thickBot="1" x14ac:dyDescent="0.4">
      <c r="B20" s="50"/>
      <c r="C20" s="50"/>
      <c r="D20" s="50"/>
      <c r="E20" s="50"/>
      <c r="F20" s="50"/>
      <c r="G20" s="51"/>
      <c r="H20" s="51"/>
      <c r="I20" s="51"/>
      <c r="J20" s="51"/>
      <c r="K20" s="51"/>
      <c r="L20" s="50"/>
      <c r="M20" s="50"/>
      <c r="N20" s="50"/>
      <c r="O20" s="50"/>
      <c r="P20" s="50"/>
    </row>
    <row r="21" spans="1:16" ht="78.5" customHeight="1" x14ac:dyDescent="0.35">
      <c r="B21" s="186" t="s">
        <v>466</v>
      </c>
      <c r="C21" s="232" t="s">
        <v>467</v>
      </c>
      <c r="D21" s="359" t="s">
        <v>569</v>
      </c>
      <c r="E21" s="359"/>
      <c r="F21" s="359" t="s">
        <v>566</v>
      </c>
      <c r="G21" s="359"/>
      <c r="H21" s="359" t="s">
        <v>567</v>
      </c>
      <c r="I21" s="359"/>
      <c r="J21" s="359" t="s">
        <v>568</v>
      </c>
      <c r="K21" s="359"/>
      <c r="L21" s="188" t="s">
        <v>589</v>
      </c>
      <c r="M21" s="232" t="s">
        <v>585</v>
      </c>
      <c r="N21" s="187" t="s">
        <v>590</v>
      </c>
      <c r="O21" s="50"/>
      <c r="P21" s="196" t="s">
        <v>586</v>
      </c>
    </row>
    <row r="22" spans="1:16" ht="39.5" thickBot="1" x14ac:dyDescent="0.4">
      <c r="A22" s="170" t="s">
        <v>529</v>
      </c>
      <c r="B22" s="109" t="s">
        <v>564</v>
      </c>
      <c r="C22" s="128" t="s">
        <v>565</v>
      </c>
      <c r="D22" s="365"/>
      <c r="E22" s="365"/>
      <c r="F22" s="313">
        <v>1109</v>
      </c>
      <c r="G22" s="313"/>
      <c r="H22" s="366">
        <v>0.38600000000000001</v>
      </c>
      <c r="I22" s="366"/>
      <c r="J22" s="367"/>
      <c r="K22" s="367"/>
      <c r="L22" s="171">
        <f>D22*F22*H22*(1-J22)</f>
        <v>0</v>
      </c>
      <c r="M22" s="228">
        <v>15</v>
      </c>
      <c r="N22" s="179">
        <f>L22*M22</f>
        <v>0</v>
      </c>
      <c r="O22" s="50"/>
      <c r="P22" s="200">
        <f>L22/1000</f>
        <v>0</v>
      </c>
    </row>
    <row r="23" spans="1:16" ht="15" thickBot="1" x14ac:dyDescent="0.4">
      <c r="B23" s="50"/>
      <c r="C23" s="50"/>
      <c r="D23" s="50"/>
      <c r="E23" s="50"/>
      <c r="F23" s="50"/>
      <c r="G23" s="51"/>
      <c r="H23" s="51"/>
      <c r="I23" s="51"/>
      <c r="J23" s="51"/>
      <c r="K23" s="51"/>
      <c r="L23" s="50"/>
      <c r="M23" s="50"/>
      <c r="N23" s="50"/>
      <c r="O23" s="50"/>
      <c r="P23" s="50"/>
    </row>
    <row r="24" spans="1:16" ht="25.5" customHeight="1" x14ac:dyDescent="0.35">
      <c r="B24" s="355" t="s">
        <v>466</v>
      </c>
      <c r="C24" s="350" t="s">
        <v>467</v>
      </c>
      <c r="D24" s="351"/>
      <c r="E24" s="351"/>
      <c r="F24" s="359" t="s">
        <v>660</v>
      </c>
      <c r="G24" s="359"/>
      <c r="H24" s="359" t="s">
        <v>665</v>
      </c>
      <c r="I24" s="359"/>
      <c r="J24" s="359" t="s">
        <v>666</v>
      </c>
      <c r="K24" s="359"/>
      <c r="L24" s="361" t="s">
        <v>589</v>
      </c>
      <c r="M24" s="363" t="s">
        <v>585</v>
      </c>
      <c r="N24" s="353" t="s">
        <v>590</v>
      </c>
      <c r="O24" s="50"/>
      <c r="P24" s="348" t="s">
        <v>586</v>
      </c>
    </row>
    <row r="25" spans="1:16" ht="41.5" customHeight="1" x14ac:dyDescent="0.35">
      <c r="B25" s="356"/>
      <c r="C25" s="352" t="s">
        <v>668</v>
      </c>
      <c r="D25" s="352"/>
      <c r="E25" s="352"/>
      <c r="F25" s="360"/>
      <c r="G25" s="360"/>
      <c r="H25" s="360"/>
      <c r="I25" s="360"/>
      <c r="J25" s="360"/>
      <c r="K25" s="360"/>
      <c r="L25" s="362"/>
      <c r="M25" s="364"/>
      <c r="N25" s="354"/>
      <c r="O25" s="50"/>
      <c r="P25" s="349"/>
    </row>
    <row r="26" spans="1:16" ht="16" customHeight="1" x14ac:dyDescent="0.35">
      <c r="A26" s="347" t="s">
        <v>558</v>
      </c>
      <c r="B26" s="306" t="s">
        <v>667</v>
      </c>
      <c r="C26" s="327" t="s">
        <v>661</v>
      </c>
      <c r="D26" s="327"/>
      <c r="E26" s="327"/>
      <c r="F26" s="325"/>
      <c r="G26" s="325"/>
      <c r="H26" s="325"/>
      <c r="I26" s="325"/>
      <c r="J26" s="357">
        <v>179</v>
      </c>
      <c r="K26" s="357"/>
      <c r="L26" s="172">
        <f>F26*(J26-H26)</f>
        <v>0</v>
      </c>
      <c r="M26" s="230">
        <v>12</v>
      </c>
      <c r="N26" s="182">
        <f>L26*M26</f>
        <v>0</v>
      </c>
      <c r="O26" s="50"/>
      <c r="P26" s="251">
        <f>L26/1000</f>
        <v>0</v>
      </c>
    </row>
    <row r="27" spans="1:16" x14ac:dyDescent="0.35">
      <c r="A27" s="347"/>
      <c r="B27" s="306"/>
      <c r="C27" s="327" t="s">
        <v>662</v>
      </c>
      <c r="D27" s="327"/>
      <c r="E27" s="327"/>
      <c r="F27" s="325"/>
      <c r="G27" s="325"/>
      <c r="H27" s="325"/>
      <c r="I27" s="325"/>
      <c r="J27" s="357">
        <v>153</v>
      </c>
      <c r="K27" s="357"/>
      <c r="L27" s="172">
        <f>F27*(J27-H27)</f>
        <v>0</v>
      </c>
      <c r="M27" s="230">
        <v>12</v>
      </c>
      <c r="N27" s="182">
        <f>L27*M27</f>
        <v>0</v>
      </c>
      <c r="O27" s="50"/>
      <c r="P27" s="251">
        <f t="shared" ref="P27:P29" si="0">L27/1000</f>
        <v>0</v>
      </c>
    </row>
    <row r="28" spans="1:16" x14ac:dyDescent="0.35">
      <c r="A28" s="347"/>
      <c r="B28" s="306"/>
      <c r="C28" s="327" t="s">
        <v>663</v>
      </c>
      <c r="D28" s="327"/>
      <c r="E28" s="327"/>
      <c r="F28" s="325"/>
      <c r="G28" s="325"/>
      <c r="H28" s="325"/>
      <c r="I28" s="325"/>
      <c r="J28" s="357">
        <v>384</v>
      </c>
      <c r="K28" s="357"/>
      <c r="L28" s="172">
        <f>F28*(J28-H28)</f>
        <v>0</v>
      </c>
      <c r="M28" s="230">
        <v>15</v>
      </c>
      <c r="N28" s="182">
        <f>L28*M28</f>
        <v>0</v>
      </c>
      <c r="O28" s="50"/>
      <c r="P28" s="251">
        <f t="shared" si="0"/>
        <v>0</v>
      </c>
    </row>
    <row r="29" spans="1:16" ht="15" thickBot="1" x14ac:dyDescent="0.4">
      <c r="A29" s="347"/>
      <c r="B29" s="307"/>
      <c r="C29" s="319" t="s">
        <v>664</v>
      </c>
      <c r="D29" s="319"/>
      <c r="E29" s="319"/>
      <c r="F29" s="320"/>
      <c r="G29" s="320"/>
      <c r="H29" s="320"/>
      <c r="I29" s="320"/>
      <c r="J29" s="358">
        <v>310</v>
      </c>
      <c r="K29" s="358"/>
      <c r="L29" s="171">
        <f>F29*(J29-H29)</f>
        <v>0</v>
      </c>
      <c r="M29" s="248">
        <v>15</v>
      </c>
      <c r="N29" s="179">
        <f>L29*M29</f>
        <v>0</v>
      </c>
      <c r="O29" s="50"/>
      <c r="P29" s="252">
        <f t="shared" si="0"/>
        <v>0</v>
      </c>
    </row>
    <row r="31" spans="1:16" x14ac:dyDescent="0.35">
      <c r="B31" s="3"/>
    </row>
  </sheetData>
  <sheetProtection algorithmName="SHA-512" hashValue="CmOz6N9d+b9XLJRMXt4ZmkGYtbFTnBnK/QX2vBqbyVGdgKaVoqHoz+xJ6DxKPHR3HeHQkDiXpOUN56XTtn868w==" saltValue="26txg16NsRYqXKKrgi782A==" spinCount="100000" sheet="1" objects="1" scenarios="1"/>
  <mergeCells count="73">
    <mergeCell ref="B1:N1"/>
    <mergeCell ref="G3:H3"/>
    <mergeCell ref="G4:H4"/>
    <mergeCell ref="G5:H5"/>
    <mergeCell ref="E3:F3"/>
    <mergeCell ref="E4:F4"/>
    <mergeCell ref="E5:F5"/>
    <mergeCell ref="B4:B5"/>
    <mergeCell ref="D14:E14"/>
    <mergeCell ref="D15:E15"/>
    <mergeCell ref="H10:I10"/>
    <mergeCell ref="H11:I11"/>
    <mergeCell ref="H12:I12"/>
    <mergeCell ref="D10:E10"/>
    <mergeCell ref="D11:E11"/>
    <mergeCell ref="D12:E12"/>
    <mergeCell ref="B15:B19"/>
    <mergeCell ref="J18:K18"/>
    <mergeCell ref="J19:K19"/>
    <mergeCell ref="H18:I18"/>
    <mergeCell ref="H19:I19"/>
    <mergeCell ref="D18:E18"/>
    <mergeCell ref="D19:E19"/>
    <mergeCell ref="I15:J15"/>
    <mergeCell ref="B8:B12"/>
    <mergeCell ref="G7:H7"/>
    <mergeCell ref="G8:H8"/>
    <mergeCell ref="G9:H9"/>
    <mergeCell ref="E7:F7"/>
    <mergeCell ref="E8:F8"/>
    <mergeCell ref="E9:F9"/>
    <mergeCell ref="K11:K12"/>
    <mergeCell ref="J8:K9"/>
    <mergeCell ref="J7:K7"/>
    <mergeCell ref="I14:J14"/>
    <mergeCell ref="I8:I9"/>
    <mergeCell ref="J11:J12"/>
    <mergeCell ref="F24:G25"/>
    <mergeCell ref="F26:G26"/>
    <mergeCell ref="L24:L25"/>
    <mergeCell ref="M24:M25"/>
    <mergeCell ref="D21:E21"/>
    <mergeCell ref="D22:E22"/>
    <mergeCell ref="F21:G21"/>
    <mergeCell ref="F22:G22"/>
    <mergeCell ref="H21:I21"/>
    <mergeCell ref="H22:I22"/>
    <mergeCell ref="J21:K21"/>
    <mergeCell ref="J22:K22"/>
    <mergeCell ref="J28:K28"/>
    <mergeCell ref="J29:K29"/>
    <mergeCell ref="J24:K25"/>
    <mergeCell ref="H26:I26"/>
    <mergeCell ref="H27:I27"/>
    <mergeCell ref="H28:I28"/>
    <mergeCell ref="H29:I29"/>
    <mergeCell ref="H24:I25"/>
    <mergeCell ref="P24:P25"/>
    <mergeCell ref="A26:A29"/>
    <mergeCell ref="F27:G27"/>
    <mergeCell ref="F28:G28"/>
    <mergeCell ref="F29:G29"/>
    <mergeCell ref="C24:E24"/>
    <mergeCell ref="C25:E25"/>
    <mergeCell ref="C26:E26"/>
    <mergeCell ref="C27:E27"/>
    <mergeCell ref="C28:E28"/>
    <mergeCell ref="C29:E29"/>
    <mergeCell ref="N24:N25"/>
    <mergeCell ref="B26:B29"/>
    <mergeCell ref="B24:B25"/>
    <mergeCell ref="J26:K26"/>
    <mergeCell ref="J27:K27"/>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A1:L27"/>
  <sheetViews>
    <sheetView zoomScaleNormal="100" workbookViewId="0"/>
  </sheetViews>
  <sheetFormatPr defaultColWidth="9.1796875" defaultRowHeight="14.5" x14ac:dyDescent="0.35"/>
  <cols>
    <col min="1" max="1" width="3.453125" style="238" customWidth="1"/>
    <col min="2" max="2" width="25.453125" style="46" customWidth="1"/>
    <col min="3" max="3" width="40.453125" style="46" customWidth="1"/>
    <col min="4" max="4" width="17.453125" style="46" customWidth="1"/>
    <col min="5" max="5" width="16.08984375" style="46" customWidth="1"/>
    <col min="6" max="6" width="13.90625" style="46" customWidth="1"/>
    <col min="7" max="7" width="12.90625" style="46" customWidth="1"/>
    <col min="8" max="8" width="12.54296875" style="46" customWidth="1"/>
    <col min="9" max="9" width="10.7265625" style="46" customWidth="1"/>
    <col min="10" max="10" width="11.7265625" style="46" customWidth="1"/>
    <col min="11" max="11" width="10" style="46" customWidth="1"/>
    <col min="12" max="12" width="10.90625" style="46" customWidth="1"/>
    <col min="13" max="16384" width="9.1796875" style="46"/>
  </cols>
  <sheetData>
    <row r="1" spans="1:12" ht="21" customHeight="1" thickBot="1" x14ac:dyDescent="0.4">
      <c r="B1" s="388" t="s">
        <v>600</v>
      </c>
      <c r="C1" s="389"/>
      <c r="D1" s="389"/>
      <c r="E1" s="389"/>
      <c r="F1" s="389"/>
      <c r="G1" s="389"/>
      <c r="H1" s="389"/>
      <c r="I1" s="389"/>
      <c r="J1" s="390"/>
    </row>
    <row r="2" spans="1:12" x14ac:dyDescent="0.35">
      <c r="A2" s="254"/>
      <c r="B2" s="47"/>
      <c r="C2" s="47"/>
      <c r="D2" s="47"/>
      <c r="E2" s="47"/>
      <c r="F2" s="47"/>
      <c r="G2" s="47"/>
      <c r="H2" s="47"/>
      <c r="I2" s="47"/>
    </row>
    <row r="3" spans="1:12" ht="15" thickBot="1" x14ac:dyDescent="0.4">
      <c r="A3" s="254"/>
      <c r="B3" s="243" t="s">
        <v>645</v>
      </c>
      <c r="C3" s="47"/>
      <c r="D3" s="47"/>
      <c r="E3" s="47"/>
      <c r="F3" s="47"/>
      <c r="G3" s="47"/>
      <c r="H3" s="47"/>
      <c r="I3" s="47"/>
    </row>
    <row r="4" spans="1:12" ht="91" x14ac:dyDescent="0.35">
      <c r="A4" s="254"/>
      <c r="B4" s="217" t="s">
        <v>647</v>
      </c>
      <c r="C4" s="218" t="s">
        <v>1</v>
      </c>
      <c r="D4" s="219" t="s">
        <v>644</v>
      </c>
      <c r="E4" s="219" t="s">
        <v>594</v>
      </c>
      <c r="F4" s="382" t="s">
        <v>593</v>
      </c>
      <c r="G4" s="383"/>
      <c r="H4" s="220" t="s">
        <v>589</v>
      </c>
      <c r="I4" s="219" t="s">
        <v>585</v>
      </c>
      <c r="J4" s="221" t="s">
        <v>590</v>
      </c>
      <c r="L4" s="196" t="s">
        <v>586</v>
      </c>
    </row>
    <row r="5" spans="1:12" ht="39" x14ac:dyDescent="0.35">
      <c r="A5" s="254" t="s">
        <v>412</v>
      </c>
      <c r="B5" s="306" t="s">
        <v>411</v>
      </c>
      <c r="C5" s="120" t="s">
        <v>410</v>
      </c>
      <c r="D5" s="166"/>
      <c r="E5" s="166"/>
      <c r="F5" s="384">
        <v>0.02</v>
      </c>
      <c r="G5" s="385"/>
      <c r="H5" s="165">
        <f>D5*E5*F5</f>
        <v>0</v>
      </c>
      <c r="I5" s="165">
        <v>1</v>
      </c>
      <c r="J5" s="111">
        <f>H5*I5</f>
        <v>0</v>
      </c>
      <c r="L5" s="246">
        <f>H5/1000</f>
        <v>0</v>
      </c>
    </row>
    <row r="6" spans="1:12" ht="39" x14ac:dyDescent="0.35">
      <c r="A6" s="254" t="s">
        <v>413</v>
      </c>
      <c r="B6" s="306"/>
      <c r="C6" s="120" t="s">
        <v>640</v>
      </c>
      <c r="D6" s="166"/>
      <c r="E6" s="166"/>
      <c r="F6" s="384">
        <v>0.02</v>
      </c>
      <c r="G6" s="385"/>
      <c r="H6" s="165">
        <f>D6*E6*F6</f>
        <v>0</v>
      </c>
      <c r="I6" s="165">
        <v>1</v>
      </c>
      <c r="J6" s="111">
        <f>H6*I6</f>
        <v>0</v>
      </c>
      <c r="L6" s="246">
        <f>H6/1000</f>
        <v>0</v>
      </c>
    </row>
    <row r="7" spans="1:12" ht="15" thickBot="1" x14ac:dyDescent="0.4">
      <c r="A7" s="254" t="s">
        <v>414</v>
      </c>
      <c r="B7" s="307"/>
      <c r="C7" s="128" t="s">
        <v>641</v>
      </c>
      <c r="D7" s="168"/>
      <c r="E7" s="168"/>
      <c r="F7" s="386">
        <v>0.02</v>
      </c>
      <c r="G7" s="387"/>
      <c r="H7" s="164">
        <f>D7*E7*F7</f>
        <v>0</v>
      </c>
      <c r="I7" s="164">
        <v>1</v>
      </c>
      <c r="J7" s="110">
        <f>H7*I7</f>
        <v>0</v>
      </c>
      <c r="L7" s="247">
        <f>H7/1000</f>
        <v>0</v>
      </c>
    </row>
    <row r="8" spans="1:12" x14ac:dyDescent="0.35">
      <c r="A8" s="254"/>
      <c r="B8" s="47"/>
      <c r="C8" s="47"/>
      <c r="D8" s="47"/>
      <c r="E8" s="47"/>
      <c r="F8" s="47"/>
      <c r="G8" s="47"/>
      <c r="H8" s="47"/>
      <c r="I8" s="47"/>
    </row>
    <row r="9" spans="1:12" s="239" customFormat="1" ht="15" thickBot="1" x14ac:dyDescent="0.4">
      <c r="A9" s="255"/>
      <c r="B9" s="244" t="s">
        <v>642</v>
      </c>
      <c r="D9" s="240"/>
      <c r="E9" s="240"/>
      <c r="F9" s="241"/>
      <c r="G9" s="242"/>
      <c r="H9" s="242"/>
      <c r="I9" s="242"/>
    </row>
    <row r="10" spans="1:12" ht="78" x14ac:dyDescent="0.35">
      <c r="B10" s="217" t="s">
        <v>647</v>
      </c>
      <c r="C10" s="218" t="s">
        <v>1</v>
      </c>
      <c r="D10" s="219" t="s">
        <v>643</v>
      </c>
      <c r="E10" s="245" t="s">
        <v>594</v>
      </c>
      <c r="F10" s="382" t="s">
        <v>593</v>
      </c>
      <c r="G10" s="383"/>
      <c r="H10" s="220" t="s">
        <v>589</v>
      </c>
      <c r="I10" s="219" t="s">
        <v>585</v>
      </c>
      <c r="J10" s="221" t="s">
        <v>590</v>
      </c>
      <c r="L10" s="196" t="s">
        <v>586</v>
      </c>
    </row>
    <row r="11" spans="1:12" ht="38.5" customHeight="1" x14ac:dyDescent="0.35">
      <c r="A11" s="238" t="s">
        <v>415</v>
      </c>
      <c r="B11" s="306" t="s">
        <v>634</v>
      </c>
      <c r="C11" s="120" t="s">
        <v>635</v>
      </c>
      <c r="D11" s="166"/>
      <c r="E11" s="231"/>
      <c r="F11" s="374">
        <v>0.03</v>
      </c>
      <c r="G11" s="374"/>
      <c r="H11" s="165">
        <f>D11*E11*F11</f>
        <v>0</v>
      </c>
      <c r="I11" s="165">
        <v>1</v>
      </c>
      <c r="J11" s="111">
        <f>H11*I11</f>
        <v>0</v>
      </c>
      <c r="L11" s="246">
        <f>H11/1000</f>
        <v>0</v>
      </c>
    </row>
    <row r="12" spans="1:12" ht="39" customHeight="1" x14ac:dyDescent="0.35">
      <c r="A12" s="238" t="s">
        <v>416</v>
      </c>
      <c r="B12" s="306"/>
      <c r="C12" s="120" t="s">
        <v>636</v>
      </c>
      <c r="D12" s="166"/>
      <c r="E12" s="231"/>
      <c r="F12" s="374">
        <v>0.03</v>
      </c>
      <c r="G12" s="374"/>
      <c r="H12" s="165">
        <f>D12*E12*F12</f>
        <v>0</v>
      </c>
      <c r="I12" s="165">
        <v>1</v>
      </c>
      <c r="J12" s="111">
        <f>H12*I12</f>
        <v>0</v>
      </c>
      <c r="L12" s="246">
        <f>H12/1000</f>
        <v>0</v>
      </c>
    </row>
    <row r="13" spans="1:12" ht="36" customHeight="1" x14ac:dyDescent="0.35">
      <c r="A13" s="238" t="s">
        <v>472</v>
      </c>
      <c r="B13" s="306"/>
      <c r="C13" s="120" t="s">
        <v>637</v>
      </c>
      <c r="D13" s="166"/>
      <c r="E13" s="231"/>
      <c r="F13" s="374">
        <v>0.03</v>
      </c>
      <c r="G13" s="374"/>
      <c r="H13" s="165">
        <f>D13*E13*F13</f>
        <v>0</v>
      </c>
      <c r="I13" s="165">
        <v>1</v>
      </c>
      <c r="J13" s="111">
        <f>H13*I13</f>
        <v>0</v>
      </c>
      <c r="L13" s="246">
        <f>H13/1000</f>
        <v>0</v>
      </c>
    </row>
    <row r="14" spans="1:12" ht="36" customHeight="1" x14ac:dyDescent="0.35">
      <c r="A14" s="238" t="s">
        <v>494</v>
      </c>
      <c r="B14" s="381"/>
      <c r="C14" s="222" t="s">
        <v>638</v>
      </c>
      <c r="D14" s="223"/>
      <c r="E14" s="231"/>
      <c r="F14" s="374">
        <v>0.08</v>
      </c>
      <c r="G14" s="374"/>
      <c r="H14" s="167">
        <f>D14*E14*F14</f>
        <v>0</v>
      </c>
      <c r="I14" s="167">
        <v>1</v>
      </c>
      <c r="J14" s="224">
        <f>H14*I14</f>
        <v>0</v>
      </c>
      <c r="L14" s="246">
        <f>H14/1000</f>
        <v>0</v>
      </c>
    </row>
    <row r="15" spans="1:12" ht="38" customHeight="1" thickBot="1" x14ac:dyDescent="0.4">
      <c r="A15" s="238" t="s">
        <v>495</v>
      </c>
      <c r="B15" s="307"/>
      <c r="C15" s="128" t="s">
        <v>639</v>
      </c>
      <c r="D15" s="168"/>
      <c r="E15" s="229"/>
      <c r="F15" s="391">
        <v>0.16</v>
      </c>
      <c r="G15" s="391"/>
      <c r="H15" s="164">
        <f>D15*E15*F15</f>
        <v>0</v>
      </c>
      <c r="I15" s="164">
        <v>1</v>
      </c>
      <c r="J15" s="110">
        <f>H15*I15</f>
        <v>0</v>
      </c>
      <c r="L15" s="247">
        <f>H15/1000</f>
        <v>0</v>
      </c>
    </row>
    <row r="16" spans="1:12" ht="15" thickBot="1" x14ac:dyDescent="0.4">
      <c r="A16" s="254"/>
      <c r="B16" s="47"/>
      <c r="C16" s="47"/>
      <c r="D16" s="47"/>
      <c r="E16" s="47"/>
      <c r="F16" s="47"/>
      <c r="G16" s="47"/>
      <c r="H16" s="47"/>
      <c r="I16" s="47"/>
    </row>
    <row r="17" spans="1:12" ht="78" x14ac:dyDescent="0.35">
      <c r="B17" s="217" t="s">
        <v>647</v>
      </c>
      <c r="C17" s="218" t="s">
        <v>1</v>
      </c>
      <c r="D17" s="219" t="s">
        <v>435</v>
      </c>
      <c r="E17" s="219" t="s">
        <v>628</v>
      </c>
      <c r="F17" s="382" t="s">
        <v>593</v>
      </c>
      <c r="G17" s="383"/>
      <c r="H17" s="220" t="s">
        <v>589</v>
      </c>
      <c r="I17" s="219" t="s">
        <v>585</v>
      </c>
      <c r="J17" s="221" t="s">
        <v>590</v>
      </c>
      <c r="L17" s="196" t="s">
        <v>586</v>
      </c>
    </row>
    <row r="18" spans="1:12" x14ac:dyDescent="0.35">
      <c r="A18" s="234" t="s">
        <v>496</v>
      </c>
      <c r="B18" s="306" t="s">
        <v>622</v>
      </c>
      <c r="C18" s="120" t="s">
        <v>623</v>
      </c>
      <c r="D18" s="155"/>
      <c r="E18" s="155"/>
      <c r="F18" s="384">
        <v>0.02</v>
      </c>
      <c r="G18" s="385"/>
      <c r="H18" s="154">
        <f>D18*E18*F18</f>
        <v>0</v>
      </c>
      <c r="I18" s="154">
        <v>2</v>
      </c>
      <c r="J18" s="111">
        <f>H18*I18</f>
        <v>0</v>
      </c>
      <c r="L18" s="198">
        <f>H18/1000</f>
        <v>0</v>
      </c>
    </row>
    <row r="19" spans="1:12" ht="26" x14ac:dyDescent="0.35">
      <c r="A19" s="234" t="s">
        <v>529</v>
      </c>
      <c r="B19" s="381"/>
      <c r="C19" s="222" t="s">
        <v>624</v>
      </c>
      <c r="D19" s="223"/>
      <c r="E19" s="223"/>
      <c r="F19" s="384">
        <v>0.04</v>
      </c>
      <c r="G19" s="385"/>
      <c r="H19" s="152">
        <f>D19*E19*F19</f>
        <v>0</v>
      </c>
      <c r="I19" s="152">
        <v>2</v>
      </c>
      <c r="J19" s="224">
        <f>H19*I19</f>
        <v>0</v>
      </c>
      <c r="L19" s="198">
        <f>H19/1000</f>
        <v>0</v>
      </c>
    </row>
    <row r="20" spans="1:12" ht="26" x14ac:dyDescent="0.35">
      <c r="A20" s="234" t="s">
        <v>558</v>
      </c>
      <c r="B20" s="381"/>
      <c r="C20" s="222" t="s">
        <v>625</v>
      </c>
      <c r="D20" s="223"/>
      <c r="E20" s="223"/>
      <c r="F20" s="384">
        <v>0.05</v>
      </c>
      <c r="G20" s="385"/>
      <c r="H20" s="152">
        <f>D20*E20*F20</f>
        <v>0</v>
      </c>
      <c r="I20" s="152">
        <v>2</v>
      </c>
      <c r="J20" s="224">
        <f>H20*I20</f>
        <v>0</v>
      </c>
      <c r="L20" s="198">
        <f>H20/1000</f>
        <v>0</v>
      </c>
    </row>
    <row r="21" spans="1:12" ht="26" customHeight="1" x14ac:dyDescent="0.35">
      <c r="A21" s="234" t="s">
        <v>562</v>
      </c>
      <c r="B21" s="381"/>
      <c r="C21" s="222" t="s">
        <v>626</v>
      </c>
      <c r="D21" s="223"/>
      <c r="E21" s="223"/>
      <c r="F21" s="384">
        <v>7.0000000000000007E-2</v>
      </c>
      <c r="G21" s="385"/>
      <c r="H21" s="152">
        <f>D21*E21*F21</f>
        <v>0</v>
      </c>
      <c r="I21" s="152">
        <v>2</v>
      </c>
      <c r="J21" s="224">
        <f>H21*I21</f>
        <v>0</v>
      </c>
      <c r="L21" s="198">
        <f>H21/1000</f>
        <v>0</v>
      </c>
    </row>
    <row r="22" spans="1:12" ht="51" customHeight="1" thickBot="1" x14ac:dyDescent="0.4">
      <c r="A22" s="234" t="s">
        <v>575</v>
      </c>
      <c r="B22" s="307"/>
      <c r="C22" s="128" t="s">
        <v>627</v>
      </c>
      <c r="D22" s="162"/>
      <c r="E22" s="162"/>
      <c r="F22" s="386">
        <v>0.12</v>
      </c>
      <c r="G22" s="387"/>
      <c r="H22" s="157">
        <f>D22*E22*F22</f>
        <v>0</v>
      </c>
      <c r="I22" s="157">
        <v>2</v>
      </c>
      <c r="J22" s="110">
        <f>H22*I22</f>
        <v>0</v>
      </c>
      <c r="L22" s="199">
        <f>H22/1000</f>
        <v>0</v>
      </c>
    </row>
    <row r="23" spans="1:12" ht="15" thickBot="1" x14ac:dyDescent="0.4"/>
    <row r="24" spans="1:12" ht="78" x14ac:dyDescent="0.35">
      <c r="B24" s="217" t="s">
        <v>646</v>
      </c>
      <c r="C24" s="218" t="s">
        <v>1</v>
      </c>
      <c r="D24" s="219" t="s">
        <v>630</v>
      </c>
      <c r="E24" s="219" t="s">
        <v>633</v>
      </c>
      <c r="F24" s="219" t="s">
        <v>631</v>
      </c>
      <c r="G24" s="219" t="s">
        <v>632</v>
      </c>
      <c r="H24" s="220" t="s">
        <v>589</v>
      </c>
      <c r="I24" s="219" t="s">
        <v>585</v>
      </c>
      <c r="J24" s="221" t="s">
        <v>590</v>
      </c>
      <c r="L24" s="196" t="s">
        <v>586</v>
      </c>
    </row>
    <row r="25" spans="1:12" ht="129.5" customHeight="1" thickBot="1" x14ac:dyDescent="0.4">
      <c r="A25" s="238" t="s">
        <v>653</v>
      </c>
      <c r="B25" s="236" t="s">
        <v>648</v>
      </c>
      <c r="C25" s="120" t="s">
        <v>629</v>
      </c>
      <c r="D25" s="166"/>
      <c r="E25" s="166"/>
      <c r="F25" s="62">
        <v>0.03</v>
      </c>
      <c r="G25" s="62">
        <v>0.05</v>
      </c>
      <c r="H25" s="172">
        <f>D25*F25+E25*G25</f>
        <v>0</v>
      </c>
      <c r="I25" s="165">
        <v>5</v>
      </c>
      <c r="J25" s="182">
        <f>H25*I25</f>
        <v>0</v>
      </c>
      <c r="L25" s="237">
        <f>H25/1000</f>
        <v>0</v>
      </c>
    </row>
    <row r="27" spans="1:12" x14ac:dyDescent="0.35">
      <c r="A27" s="255"/>
      <c r="B27" s="239"/>
    </row>
  </sheetData>
  <sheetProtection algorithmName="SHA-512" hashValue="BQN+4gNRh2BEVrhsbw0eokxHPN5t43LqDPbMzCM98HnmGxN3kaagtoL7ykAbO/5+PX9uKhMEnKXSbDtXWYlUMg==" saltValue="8juoAnhJYk3uD2EV42obmw==" spinCount="100000" sheet="1" objects="1" scenarios="1"/>
  <mergeCells count="20">
    <mergeCell ref="B1:J1"/>
    <mergeCell ref="F10:G10"/>
    <mergeCell ref="F11:G11"/>
    <mergeCell ref="B11:B15"/>
    <mergeCell ref="B5:B7"/>
    <mergeCell ref="F4:G4"/>
    <mergeCell ref="F5:G5"/>
    <mergeCell ref="F6:G6"/>
    <mergeCell ref="F7:G7"/>
    <mergeCell ref="F12:G12"/>
    <mergeCell ref="F13:G13"/>
    <mergeCell ref="F14:G14"/>
    <mergeCell ref="F15:G15"/>
    <mergeCell ref="B18:B22"/>
    <mergeCell ref="F17:G17"/>
    <mergeCell ref="F18:G18"/>
    <mergeCell ref="F19:G19"/>
    <mergeCell ref="F20:G20"/>
    <mergeCell ref="F21:G21"/>
    <mergeCell ref="F22:G22"/>
  </mergeCells>
  <dataValidations count="2">
    <dataValidation allowBlank="1" showInputMessage="1" showErrorMessage="1" prompt="Formula attiecas uz viedajiem skaitītājiem, kuri ir uzstādīti elektroenerģijas, gāzes vai centralizētās apkures sistēmas siltumenerģijas patēriņa mērīšanai un vadībai mājsaimniecībās." sqref="D18:D21" xr:uid="{2F2E5B84-BB07-4128-9991-F838E0BD08F4}"/>
    <dataValidation allowBlank="1" showInputMessage="1" showErrorMessage="1" prompt="Formula attiecas uz viedajiem skaitītājiem, kuri ir uzstādīti elektroenerģijas patēriņa mērīšanai un vadībai mājsaimniecībās." sqref="D22" xr:uid="{B433A53E-3800-45AE-A2B8-ECD40ED2D42D}"/>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39997558519241921"/>
  </sheetPr>
  <dimension ref="A1:M21"/>
  <sheetViews>
    <sheetView zoomScaleNormal="100" workbookViewId="0"/>
  </sheetViews>
  <sheetFormatPr defaultRowHeight="14.5" x14ac:dyDescent="0.35"/>
  <cols>
    <col min="1" max="1" width="3.54296875" customWidth="1"/>
    <col min="2" max="2" width="31.453125" customWidth="1"/>
    <col min="3" max="3" width="26.81640625" customWidth="1"/>
    <col min="4" max="4" width="19.7265625" customWidth="1"/>
    <col min="5" max="5" width="18.453125" customWidth="1"/>
    <col min="6" max="7" width="20.453125" customWidth="1"/>
    <col min="8" max="8" width="16.81640625" customWidth="1"/>
    <col min="9" max="9" width="10.26953125" customWidth="1"/>
    <col min="10" max="10" width="9.7265625" customWidth="1"/>
    <col min="11" max="11" width="11.1796875" customWidth="1"/>
    <col min="12" max="12" width="9.54296875" customWidth="1"/>
    <col min="13" max="13" width="11.54296875" customWidth="1"/>
  </cols>
  <sheetData>
    <row r="1" spans="1:13" ht="21.5" thickBot="1" x14ac:dyDescent="0.55000000000000004">
      <c r="B1" s="395" t="s">
        <v>547</v>
      </c>
      <c r="C1" s="396"/>
      <c r="D1" s="396"/>
      <c r="E1" s="396"/>
      <c r="F1" s="396"/>
      <c r="G1" s="396"/>
      <c r="H1" s="396"/>
      <c r="I1" s="396"/>
      <c r="J1" s="396"/>
      <c r="K1" s="397"/>
    </row>
    <row r="2" spans="1:13" ht="15" thickBot="1" x14ac:dyDescent="0.4"/>
    <row r="3" spans="1:13" ht="64.5" customHeight="1" x14ac:dyDescent="0.35">
      <c r="B3" s="94" t="s">
        <v>432</v>
      </c>
      <c r="C3" s="95" t="s">
        <v>548</v>
      </c>
      <c r="D3" s="95" t="s">
        <v>511</v>
      </c>
      <c r="E3" s="95" t="s">
        <v>512</v>
      </c>
      <c r="F3" s="400" t="s">
        <v>513</v>
      </c>
      <c r="G3" s="400"/>
      <c r="H3" s="100" t="s">
        <v>514</v>
      </c>
      <c r="I3" s="96" t="s">
        <v>587</v>
      </c>
      <c r="J3" s="95" t="s">
        <v>585</v>
      </c>
      <c r="K3" s="97" t="s">
        <v>590</v>
      </c>
      <c r="M3" s="196" t="s">
        <v>586</v>
      </c>
    </row>
    <row r="4" spans="1:13" ht="30" customHeight="1" x14ac:dyDescent="0.35">
      <c r="A4" s="399" t="s">
        <v>412</v>
      </c>
      <c r="B4" s="306" t="s">
        <v>588</v>
      </c>
      <c r="C4" s="120" t="s">
        <v>550</v>
      </c>
      <c r="D4" s="155"/>
      <c r="E4" s="324">
        <v>73.7</v>
      </c>
      <c r="F4" s="324">
        <v>15.5</v>
      </c>
      <c r="G4" s="324"/>
      <c r="H4" s="63">
        <v>14500</v>
      </c>
      <c r="I4" s="174">
        <f>D4*(E4-F4)*H4/100</f>
        <v>0</v>
      </c>
      <c r="J4" s="63">
        <v>5</v>
      </c>
      <c r="K4" s="183">
        <f>J4*I4</f>
        <v>0</v>
      </c>
      <c r="M4" s="203">
        <f>I4/1000</f>
        <v>0</v>
      </c>
    </row>
    <row r="5" spans="1:13" ht="30" customHeight="1" thickBot="1" x14ac:dyDescent="0.4">
      <c r="A5" s="399"/>
      <c r="B5" s="307"/>
      <c r="C5" s="128" t="s">
        <v>549</v>
      </c>
      <c r="D5" s="162"/>
      <c r="E5" s="313"/>
      <c r="F5" s="313"/>
      <c r="G5" s="313"/>
      <c r="H5" s="80">
        <v>28000</v>
      </c>
      <c r="I5" s="175">
        <f>D5*(E4-F4)*H5/100</f>
        <v>0</v>
      </c>
      <c r="J5" s="80">
        <v>5</v>
      </c>
      <c r="K5" s="180">
        <f>J5*I5</f>
        <v>0</v>
      </c>
      <c r="M5" s="204">
        <f>I5/1000</f>
        <v>0</v>
      </c>
    </row>
    <row r="6" spans="1:13" ht="15" thickBot="1" x14ac:dyDescent="0.4">
      <c r="A6" s="99"/>
      <c r="B6" s="50"/>
      <c r="C6" s="50"/>
      <c r="D6" s="50"/>
      <c r="E6" s="50"/>
      <c r="F6" s="50"/>
      <c r="G6" s="50"/>
      <c r="H6" s="50"/>
      <c r="I6" s="50"/>
      <c r="J6" s="50"/>
      <c r="K6" s="50"/>
    </row>
    <row r="7" spans="1:13" ht="67" customHeight="1" thickBot="1" x14ac:dyDescent="0.4">
      <c r="A7" s="99"/>
      <c r="B7" s="91" t="s">
        <v>432</v>
      </c>
      <c r="C7" s="91" t="s">
        <v>544</v>
      </c>
      <c r="D7" s="91" t="s">
        <v>545</v>
      </c>
      <c r="E7" s="91" t="s">
        <v>537</v>
      </c>
      <c r="F7" s="91" t="s">
        <v>538</v>
      </c>
      <c r="G7" s="91" t="s">
        <v>539</v>
      </c>
      <c r="H7" s="91" t="s">
        <v>514</v>
      </c>
      <c r="I7" s="92" t="s">
        <v>587</v>
      </c>
      <c r="J7" s="91" t="s">
        <v>585</v>
      </c>
      <c r="K7" s="91" t="s">
        <v>590</v>
      </c>
      <c r="M7" s="196" t="s">
        <v>586</v>
      </c>
    </row>
    <row r="8" spans="1:13" x14ac:dyDescent="0.35">
      <c r="A8" s="399" t="s">
        <v>413</v>
      </c>
      <c r="B8" s="401" t="s">
        <v>542</v>
      </c>
      <c r="C8" s="129" t="s">
        <v>535</v>
      </c>
      <c r="D8" s="107"/>
      <c r="E8" s="93">
        <v>7.8</v>
      </c>
      <c r="F8" s="93">
        <v>6</v>
      </c>
      <c r="G8" s="336">
        <v>0.97299999999999998</v>
      </c>
      <c r="H8" s="93">
        <v>14500</v>
      </c>
      <c r="I8" s="173">
        <f>D8*E8*(1-F8/E8*G8)*H8/100</f>
        <v>0</v>
      </c>
      <c r="J8" s="93">
        <v>3</v>
      </c>
      <c r="K8" s="185">
        <f>I8*J8</f>
        <v>0</v>
      </c>
      <c r="M8" s="203">
        <f>I8/1000</f>
        <v>0</v>
      </c>
    </row>
    <row r="9" spans="1:13" s="2" customFormat="1" x14ac:dyDescent="0.35">
      <c r="A9" s="399"/>
      <c r="B9" s="306"/>
      <c r="C9" s="98" t="s">
        <v>541</v>
      </c>
      <c r="D9" s="105"/>
      <c r="E9" s="104">
        <v>7.8</v>
      </c>
      <c r="F9" s="104">
        <v>6</v>
      </c>
      <c r="G9" s="322"/>
      <c r="H9" s="104">
        <v>28000</v>
      </c>
      <c r="I9" s="172">
        <f>D9*E9*(1-F9/E9*G8)*H9/100</f>
        <v>0</v>
      </c>
      <c r="J9" s="104">
        <v>3</v>
      </c>
      <c r="K9" s="182">
        <f>I9*J9</f>
        <v>0</v>
      </c>
      <c r="M9" s="203">
        <f t="shared" ref="M9:M11" si="0">I9/1000</f>
        <v>0</v>
      </c>
    </row>
    <row r="10" spans="1:13" ht="26" x14ac:dyDescent="0.35">
      <c r="A10" s="399"/>
      <c r="B10" s="306"/>
      <c r="C10" s="130" t="s">
        <v>536</v>
      </c>
      <c r="D10" s="105"/>
      <c r="E10" s="104">
        <v>9.1999999999999993</v>
      </c>
      <c r="F10" s="104">
        <v>8</v>
      </c>
      <c r="G10" s="322"/>
      <c r="H10" s="90">
        <v>33000</v>
      </c>
      <c r="I10" s="172">
        <f>D10*E10*(1-F10/E10*G8)*H10/100</f>
        <v>0</v>
      </c>
      <c r="J10" s="104">
        <v>3</v>
      </c>
      <c r="K10" s="182">
        <f t="shared" ref="K10" si="1">I10*J10</f>
        <v>0</v>
      </c>
      <c r="M10" s="203">
        <f t="shared" si="0"/>
        <v>0</v>
      </c>
    </row>
    <row r="11" spans="1:13" ht="27" thickBot="1" x14ac:dyDescent="0.4">
      <c r="A11" s="399"/>
      <c r="B11" s="307"/>
      <c r="C11" s="124" t="s">
        <v>515</v>
      </c>
      <c r="D11" s="106"/>
      <c r="E11" s="102">
        <v>23</v>
      </c>
      <c r="F11" s="102">
        <v>21</v>
      </c>
      <c r="G11" s="323"/>
      <c r="H11" s="102">
        <v>48000</v>
      </c>
      <c r="I11" s="171">
        <f>D11*E11*(1-F11/E11*G8)*H11/100</f>
        <v>0</v>
      </c>
      <c r="J11" s="102">
        <v>2</v>
      </c>
      <c r="K11" s="179">
        <f>I11*J11</f>
        <v>0</v>
      </c>
      <c r="M11" s="204">
        <f t="shared" si="0"/>
        <v>0</v>
      </c>
    </row>
    <row r="12" spans="1:13" s="2" customFormat="1" ht="15" thickBot="1" x14ac:dyDescent="0.4">
      <c r="A12" s="99"/>
      <c r="B12" s="88"/>
      <c r="C12" s="50"/>
      <c r="D12" s="50"/>
      <c r="E12" s="50"/>
      <c r="F12" s="89"/>
      <c r="G12" s="58"/>
      <c r="H12" s="50"/>
      <c r="I12" s="50"/>
      <c r="J12" s="50"/>
      <c r="K12" s="50"/>
    </row>
    <row r="13" spans="1:13" s="2" customFormat="1" ht="67.5" customHeight="1" thickBot="1" x14ac:dyDescent="0.4">
      <c r="A13" s="99"/>
      <c r="B13" s="91" t="s">
        <v>432</v>
      </c>
      <c r="C13" s="91" t="s">
        <v>544</v>
      </c>
      <c r="D13" s="91" t="s">
        <v>546</v>
      </c>
      <c r="E13" s="91" t="s">
        <v>537</v>
      </c>
      <c r="F13" s="91" t="s">
        <v>538</v>
      </c>
      <c r="G13" s="91" t="s">
        <v>540</v>
      </c>
      <c r="H13" s="91" t="s">
        <v>514</v>
      </c>
      <c r="I13" s="92" t="s">
        <v>587</v>
      </c>
      <c r="J13" s="91" t="s">
        <v>585</v>
      </c>
      <c r="K13" s="91" t="s">
        <v>590</v>
      </c>
      <c r="M13" s="196" t="s">
        <v>586</v>
      </c>
    </row>
    <row r="14" spans="1:13" x14ac:dyDescent="0.35">
      <c r="A14" s="399" t="s">
        <v>414</v>
      </c>
      <c r="B14" s="401" t="s">
        <v>543</v>
      </c>
      <c r="C14" s="129" t="s">
        <v>535</v>
      </c>
      <c r="D14" s="107"/>
      <c r="E14" s="93">
        <v>7.8</v>
      </c>
      <c r="F14" s="93">
        <v>6</v>
      </c>
      <c r="G14" s="336">
        <v>0.97099999999999997</v>
      </c>
      <c r="H14" s="93">
        <v>14500</v>
      </c>
      <c r="I14" s="173">
        <f>D14*E14*(1-F14/E14*G14)*H14/100</f>
        <v>0</v>
      </c>
      <c r="J14" s="93">
        <v>3</v>
      </c>
      <c r="K14" s="185">
        <f>I14*J14</f>
        <v>0</v>
      </c>
      <c r="M14" s="203">
        <f>I14/1000</f>
        <v>0</v>
      </c>
    </row>
    <row r="15" spans="1:13" x14ac:dyDescent="0.35">
      <c r="A15" s="399"/>
      <c r="B15" s="306"/>
      <c r="C15" s="98" t="s">
        <v>541</v>
      </c>
      <c r="D15" s="105"/>
      <c r="E15" s="104">
        <v>7.8</v>
      </c>
      <c r="F15" s="104">
        <v>6</v>
      </c>
      <c r="G15" s="322"/>
      <c r="H15" s="104">
        <v>28000</v>
      </c>
      <c r="I15" s="172">
        <f>D15*E15*(1-F15/E15*G14)*H15/100</f>
        <v>0</v>
      </c>
      <c r="J15" s="104">
        <v>3</v>
      </c>
      <c r="K15" s="182">
        <f t="shared" ref="K15:K17" si="2">I15*J15</f>
        <v>0</v>
      </c>
      <c r="M15" s="203">
        <f t="shared" ref="M15:M17" si="3">I15/1000</f>
        <v>0</v>
      </c>
    </row>
    <row r="16" spans="1:13" ht="26" x14ac:dyDescent="0.35">
      <c r="A16" s="399"/>
      <c r="B16" s="306"/>
      <c r="C16" s="130" t="s">
        <v>536</v>
      </c>
      <c r="D16" s="105"/>
      <c r="E16" s="104">
        <v>9.1999999999999993</v>
      </c>
      <c r="F16" s="104">
        <v>8</v>
      </c>
      <c r="G16" s="398"/>
      <c r="H16" s="90">
        <v>33000</v>
      </c>
      <c r="I16" s="172">
        <f>D16*E16*(1-F16/E16*G14)*H16/100</f>
        <v>0</v>
      </c>
      <c r="J16" s="104">
        <v>3</v>
      </c>
      <c r="K16" s="182">
        <f t="shared" si="2"/>
        <v>0</v>
      </c>
      <c r="M16" s="203">
        <f t="shared" si="3"/>
        <v>0</v>
      </c>
    </row>
    <row r="17" spans="1:13" ht="44.25" customHeight="1" thickBot="1" x14ac:dyDescent="0.4">
      <c r="A17" s="399"/>
      <c r="B17" s="307"/>
      <c r="C17" s="124" t="s">
        <v>515</v>
      </c>
      <c r="D17" s="106"/>
      <c r="E17" s="102">
        <v>23</v>
      </c>
      <c r="F17" s="102">
        <v>21</v>
      </c>
      <c r="G17" s="102">
        <v>0.95</v>
      </c>
      <c r="H17" s="102">
        <v>48000</v>
      </c>
      <c r="I17" s="171">
        <f>D17*E17*(1-F17/E17*G17)*H17/100</f>
        <v>0</v>
      </c>
      <c r="J17" s="102">
        <v>2</v>
      </c>
      <c r="K17" s="179">
        <f t="shared" si="2"/>
        <v>0</v>
      </c>
      <c r="M17" s="204">
        <f t="shared" si="3"/>
        <v>0</v>
      </c>
    </row>
    <row r="18" spans="1:13" ht="15" thickBot="1" x14ac:dyDescent="0.4"/>
    <row r="19" spans="1:13" ht="70.5" customHeight="1" x14ac:dyDescent="0.35">
      <c r="B19" s="193" t="s">
        <v>432</v>
      </c>
      <c r="C19" s="392" t="s">
        <v>1</v>
      </c>
      <c r="D19" s="392"/>
      <c r="E19" s="392" t="s">
        <v>578</v>
      </c>
      <c r="F19" s="392"/>
      <c r="G19" s="194" t="s">
        <v>583</v>
      </c>
      <c r="H19" s="194" t="s">
        <v>584</v>
      </c>
      <c r="I19" s="176" t="s">
        <v>587</v>
      </c>
      <c r="J19" s="235" t="s">
        <v>585</v>
      </c>
      <c r="K19" s="195" t="s">
        <v>590</v>
      </c>
      <c r="L19" s="50"/>
      <c r="M19" s="196" t="s">
        <v>586</v>
      </c>
    </row>
    <row r="20" spans="1:13" ht="39" x14ac:dyDescent="0.35">
      <c r="A20" s="347" t="s">
        <v>415</v>
      </c>
      <c r="B20" s="306" t="s">
        <v>582</v>
      </c>
      <c r="C20" s="327" t="s">
        <v>581</v>
      </c>
      <c r="D20" s="120" t="s">
        <v>579</v>
      </c>
      <c r="E20" s="393"/>
      <c r="F20" s="393"/>
      <c r="G20" s="227">
        <v>10900</v>
      </c>
      <c r="H20" s="227">
        <v>10</v>
      </c>
      <c r="I20" s="174">
        <f>E20*G20*H20/100</f>
        <v>0</v>
      </c>
      <c r="J20" s="227">
        <v>2</v>
      </c>
      <c r="K20" s="183">
        <f>I20*J20</f>
        <v>0</v>
      </c>
      <c r="L20" s="50"/>
      <c r="M20" s="203">
        <f>I20/1000</f>
        <v>0</v>
      </c>
    </row>
    <row r="21" spans="1:13" ht="48" customHeight="1" thickBot="1" x14ac:dyDescent="0.4">
      <c r="A21" s="347"/>
      <c r="B21" s="307"/>
      <c r="C21" s="319"/>
      <c r="D21" s="128" t="s">
        <v>580</v>
      </c>
      <c r="E21" s="394"/>
      <c r="F21" s="394"/>
      <c r="G21" s="80">
        <v>10900</v>
      </c>
      <c r="H21" s="80">
        <v>5</v>
      </c>
      <c r="I21" s="175">
        <f>E21*G21*H21/100</f>
        <v>0</v>
      </c>
      <c r="J21" s="80">
        <v>2</v>
      </c>
      <c r="K21" s="180">
        <f>I21*J21</f>
        <v>0</v>
      </c>
      <c r="L21" s="50"/>
      <c r="M21" s="204">
        <f t="shared" ref="M21" si="4">I21/1000</f>
        <v>0</v>
      </c>
    </row>
  </sheetData>
  <sheetProtection algorithmName="SHA-512" hashValue="C2Tz5KBNa91u8rgbdG5ojViLVW5n2PpP2mJoAZk6DwqNzhuHuW0rdwL7Qehe1Hw53/N7x/ABXeQKL/SrJs4jag==" saltValue="3XUG8iyaFlnIXCo+fKCjxQ==" spinCount="100000" sheet="1" objects="1" scenarios="1"/>
  <mergeCells count="19">
    <mergeCell ref="B1:K1"/>
    <mergeCell ref="G8:G11"/>
    <mergeCell ref="G14:G16"/>
    <mergeCell ref="A4:A5"/>
    <mergeCell ref="A8:A11"/>
    <mergeCell ref="A14:A17"/>
    <mergeCell ref="F3:G3"/>
    <mergeCell ref="F4:G5"/>
    <mergeCell ref="B8:B11"/>
    <mergeCell ref="B14:B17"/>
    <mergeCell ref="E4:E5"/>
    <mergeCell ref="B4:B5"/>
    <mergeCell ref="A20:A21"/>
    <mergeCell ref="B20:B21"/>
    <mergeCell ref="C20:C21"/>
    <mergeCell ref="C19:D19"/>
    <mergeCell ref="E19:F19"/>
    <mergeCell ref="E20:F20"/>
    <mergeCell ref="E21:F21"/>
  </mergeCells>
  <dataValidations count="3">
    <dataValidation allowBlank="1" showInputMessage="1" showErrorMessage="1" prompt="Sekojošas smērvielas un riepas tiek uzskatītas par degvielu taupošām: smērvielas: 5W-30 vai 0W-30 _x000a_" sqref="D8 D10:D11" xr:uid="{00000000-0002-0000-0400-000000000000}"/>
    <dataValidation allowBlank="1" showInputMessage="1" showErrorMessage="1" prompt="Sekojošas smērvielas tiek uzskatītas par degvielu taupošām: smērvielas: 5W-30 vai 0W-30 _x000a_" sqref="D9" xr:uid="{00000000-0002-0000-0400-000001000000}"/>
    <dataValidation allowBlank="1" showInputMessage="1" showErrorMessage="1" prompt="Sekojošas riepas tiek uzskatītas par degvielu taupošām: riepas: ekomarķējums “blue angel” RAL-UZ 89  _x000a_" sqref="D14:D17" xr:uid="{00000000-0002-0000-0400-000002000000}"/>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7" tint="0.39997558519241921"/>
    <pageSetUpPr fitToPage="1"/>
  </sheetPr>
  <dimension ref="A1:Q4"/>
  <sheetViews>
    <sheetView zoomScaleNormal="100" workbookViewId="0"/>
  </sheetViews>
  <sheetFormatPr defaultColWidth="9.1796875" defaultRowHeight="14.5" x14ac:dyDescent="0.35"/>
  <cols>
    <col min="1" max="1" width="3.54296875" style="2" customWidth="1"/>
    <col min="2" max="2" width="36.81640625" style="2" customWidth="1"/>
    <col min="3" max="3" width="14.26953125" style="2" customWidth="1"/>
    <col min="4" max="4" width="13.7265625" style="2" customWidth="1"/>
    <col min="5" max="5" width="16.26953125" style="2" customWidth="1"/>
    <col min="6" max="6" width="11.26953125" style="23" customWidth="1"/>
    <col min="7" max="7" width="13.7265625" style="2" customWidth="1"/>
    <col min="8" max="8" width="13.26953125" style="2" customWidth="1"/>
    <col min="9" max="9" width="12.453125" style="2" customWidth="1"/>
    <col min="10" max="10" width="20.453125" style="2" customWidth="1"/>
    <col min="11" max="11" width="10.7265625" style="2" customWidth="1"/>
    <col min="12" max="12" width="11.81640625" style="2" customWidth="1"/>
    <col min="13" max="13" width="10.1796875" style="2" customWidth="1"/>
    <col min="14" max="14" width="12.36328125" style="2" customWidth="1"/>
    <col min="15" max="15" width="7.54296875" style="2" customWidth="1"/>
    <col min="16" max="16" width="11.7265625" style="2" customWidth="1"/>
    <col min="17" max="16384" width="9.1796875" style="2"/>
  </cols>
  <sheetData>
    <row r="1" spans="1:17" ht="18.75" customHeight="1" thickBot="1" x14ac:dyDescent="0.4">
      <c r="B1" s="402" t="s">
        <v>533</v>
      </c>
      <c r="C1" s="403"/>
      <c r="D1" s="403"/>
      <c r="E1" s="403"/>
      <c r="F1" s="403"/>
      <c r="G1" s="403"/>
      <c r="H1" s="403"/>
      <c r="I1" s="403"/>
      <c r="J1" s="403"/>
      <c r="K1" s="403"/>
      <c r="L1" s="403"/>
      <c r="M1" s="403"/>
      <c r="N1" s="404"/>
    </row>
    <row r="2" spans="1:17" ht="19" thickBot="1" x14ac:dyDescent="0.5">
      <c r="B2" s="1"/>
    </row>
    <row r="3" spans="1:17" s="9" customFormat="1" ht="65" x14ac:dyDescent="0.35">
      <c r="B3" s="81" t="s">
        <v>432</v>
      </c>
      <c r="C3" s="82" t="s">
        <v>532</v>
      </c>
      <c r="D3" s="82" t="s">
        <v>510</v>
      </c>
      <c r="E3" s="82" t="s">
        <v>442</v>
      </c>
      <c r="F3" s="82" t="s">
        <v>592</v>
      </c>
      <c r="G3" s="82" t="s">
        <v>443</v>
      </c>
      <c r="H3" s="82" t="s">
        <v>444</v>
      </c>
      <c r="I3" s="82" t="s">
        <v>534</v>
      </c>
      <c r="J3" s="82" t="s">
        <v>591</v>
      </c>
      <c r="K3" s="82" t="s">
        <v>445</v>
      </c>
      <c r="L3" s="83" t="s">
        <v>589</v>
      </c>
      <c r="M3" s="82" t="s">
        <v>585</v>
      </c>
      <c r="N3" s="84" t="s">
        <v>590</v>
      </c>
      <c r="O3" s="10"/>
      <c r="P3" s="196" t="s">
        <v>586</v>
      </c>
      <c r="Q3" s="10"/>
    </row>
    <row r="4" spans="1:17" ht="30.75" customHeight="1" thickBot="1" x14ac:dyDescent="0.4">
      <c r="A4" s="201" t="s">
        <v>412</v>
      </c>
      <c r="B4" s="112" t="s">
        <v>531</v>
      </c>
      <c r="C4" s="106"/>
      <c r="D4" s="106"/>
      <c r="E4" s="102">
        <v>3</v>
      </c>
      <c r="F4" s="102">
        <v>0.7</v>
      </c>
      <c r="G4" s="102">
        <v>1200</v>
      </c>
      <c r="H4" s="102">
        <v>2.7916667E-4</v>
      </c>
      <c r="I4" s="85">
        <v>1.2050000000000001</v>
      </c>
      <c r="J4" s="102">
        <v>18</v>
      </c>
      <c r="K4" s="102">
        <v>0.7</v>
      </c>
      <c r="L4" s="216">
        <f>D4*E4*F4*G4*H4*I4*J4*K4*C4</f>
        <v>0</v>
      </c>
      <c r="M4" s="102">
        <v>20</v>
      </c>
      <c r="N4" s="179">
        <f>L4*M4</f>
        <v>0</v>
      </c>
      <c r="P4" s="200">
        <f>L4/1000</f>
        <v>0</v>
      </c>
    </row>
  </sheetData>
  <sheetProtection algorithmName="SHA-512" hashValue="khNM20SdFftMyDBJ8kpWGU7HwgBN+S9GWwWFQ4hqce8XwMGPvKniKcpTVAMyiZoFmlUhz+F+ydwEUhqmSGsOyQ==" saltValue="LMPLapqEq9kKpZvxBRQL4w==" spinCount="100000" sheet="1" objects="1" scenarios="1"/>
  <mergeCells count="1">
    <mergeCell ref="B1:N1"/>
  </mergeCells>
  <pageMargins left="0.7" right="0.7" top="0.75" bottom="0.75" header="0.3" footer="0.3"/>
  <pageSetup paperSize="9" scale="5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K13"/>
  <sheetViews>
    <sheetView zoomScaleNormal="100" workbookViewId="0">
      <selection activeCell="D6" sqref="D6"/>
    </sheetView>
  </sheetViews>
  <sheetFormatPr defaultColWidth="9.1796875" defaultRowHeight="14.5" x14ac:dyDescent="0.35"/>
  <cols>
    <col min="1" max="1" width="11.1796875" style="2" customWidth="1"/>
    <col min="2" max="2" width="36.81640625" style="2" customWidth="1"/>
    <col min="3" max="3" width="31.54296875" style="2" customWidth="1"/>
    <col min="4" max="4" width="20.7265625" style="2" customWidth="1"/>
    <col min="5" max="5" width="49" style="2" customWidth="1"/>
    <col min="6" max="9" width="16.54296875" style="2" customWidth="1"/>
    <col min="10" max="10" width="25.1796875" style="2" customWidth="1"/>
    <col min="11" max="16384" width="9.1796875" style="2"/>
  </cols>
  <sheetData>
    <row r="1" spans="1:11" ht="18.5" x14ac:dyDescent="0.45">
      <c r="B1" s="1" t="s">
        <v>0</v>
      </c>
    </row>
    <row r="2" spans="1:11" ht="43.5" x14ac:dyDescent="0.35">
      <c r="A2" s="22"/>
      <c r="B2" s="22" t="s">
        <v>351</v>
      </c>
      <c r="C2" s="22" t="s">
        <v>1</v>
      </c>
      <c r="D2" s="22" t="s">
        <v>2</v>
      </c>
      <c r="E2" s="22" t="s">
        <v>3</v>
      </c>
      <c r="F2" s="22" t="s">
        <v>233</v>
      </c>
      <c r="G2" s="22" t="s">
        <v>231</v>
      </c>
      <c r="H2" s="22" t="s">
        <v>232</v>
      </c>
      <c r="I2" s="22" t="s">
        <v>5</v>
      </c>
      <c r="J2" s="22" t="s">
        <v>4</v>
      </c>
    </row>
    <row r="3" spans="1:11" x14ac:dyDescent="0.35">
      <c r="A3" s="26">
        <v>1</v>
      </c>
      <c r="B3" s="29" t="s">
        <v>373</v>
      </c>
      <c r="C3" s="29"/>
      <c r="D3" s="29"/>
      <c r="E3" s="29"/>
      <c r="F3" s="29">
        <v>25</v>
      </c>
      <c r="G3" s="29"/>
      <c r="H3" s="29"/>
      <c r="I3" s="29" t="s">
        <v>357</v>
      </c>
      <c r="J3" s="29"/>
      <c r="K3" s="2" t="s">
        <v>372</v>
      </c>
    </row>
    <row r="4" spans="1:11" x14ac:dyDescent="0.35">
      <c r="A4" s="26">
        <v>2</v>
      </c>
      <c r="B4" s="29" t="s">
        <v>374</v>
      </c>
      <c r="C4" s="29"/>
      <c r="D4" s="29"/>
      <c r="E4" s="29"/>
      <c r="F4" s="29">
        <v>20</v>
      </c>
      <c r="G4" s="29"/>
      <c r="H4" s="29"/>
      <c r="I4" s="29" t="s">
        <v>357</v>
      </c>
      <c r="J4" s="29"/>
      <c r="K4" s="2" t="s">
        <v>375</v>
      </c>
    </row>
    <row r="5" spans="1:11" ht="43.5" x14ac:dyDescent="0.35">
      <c r="A5" s="27"/>
      <c r="B5" s="22" t="s">
        <v>369</v>
      </c>
      <c r="C5" s="22" t="s">
        <v>1</v>
      </c>
      <c r="D5" s="22" t="s">
        <v>2</v>
      </c>
      <c r="E5" s="22" t="s">
        <v>3</v>
      </c>
      <c r="F5" s="22" t="s">
        <v>233</v>
      </c>
      <c r="G5" s="22" t="s">
        <v>231</v>
      </c>
      <c r="H5" s="22" t="s">
        <v>232</v>
      </c>
      <c r="I5" s="22" t="s">
        <v>5</v>
      </c>
      <c r="J5" s="22" t="s">
        <v>4</v>
      </c>
    </row>
    <row r="6" spans="1:11" ht="29" x14ac:dyDescent="0.35">
      <c r="A6" s="26">
        <v>3</v>
      </c>
      <c r="B6" s="29" t="s">
        <v>370</v>
      </c>
      <c r="C6" s="29"/>
      <c r="D6" s="28"/>
      <c r="E6" s="28" t="s">
        <v>368</v>
      </c>
      <c r="F6" s="29">
        <v>14</v>
      </c>
      <c r="G6" s="29"/>
      <c r="H6" s="29"/>
      <c r="I6" s="29" t="s">
        <v>357</v>
      </c>
      <c r="J6" s="29"/>
      <c r="K6" s="2" t="s">
        <v>371</v>
      </c>
    </row>
    <row r="7" spans="1:11" ht="43.5" x14ac:dyDescent="0.35">
      <c r="A7" s="27"/>
      <c r="B7" s="22" t="s">
        <v>352</v>
      </c>
      <c r="C7" s="22" t="s">
        <v>1</v>
      </c>
      <c r="D7" s="22" t="s">
        <v>2</v>
      </c>
      <c r="E7" s="22" t="s">
        <v>3</v>
      </c>
      <c r="F7" s="22" t="s">
        <v>233</v>
      </c>
      <c r="G7" s="22" t="s">
        <v>231</v>
      </c>
      <c r="H7" s="22" t="s">
        <v>232</v>
      </c>
      <c r="I7" s="22" t="s">
        <v>5</v>
      </c>
      <c r="J7" s="22" t="s">
        <v>4</v>
      </c>
    </row>
    <row r="8" spans="1:11" ht="58" x14ac:dyDescent="0.35">
      <c r="A8" s="26">
        <v>4</v>
      </c>
      <c r="B8" s="29" t="s">
        <v>359</v>
      </c>
      <c r="C8" s="29" t="s">
        <v>353</v>
      </c>
      <c r="D8" s="29"/>
      <c r="E8" s="29" t="s">
        <v>354</v>
      </c>
      <c r="F8" s="29">
        <v>5</v>
      </c>
      <c r="G8" s="29"/>
      <c r="H8" s="29"/>
      <c r="I8" s="29" t="s">
        <v>357</v>
      </c>
      <c r="J8" s="29"/>
      <c r="K8" s="2" t="s">
        <v>355</v>
      </c>
    </row>
    <row r="9" spans="1:11" ht="29" x14ac:dyDescent="0.35">
      <c r="A9" s="26">
        <v>5</v>
      </c>
      <c r="B9" s="29" t="s">
        <v>356</v>
      </c>
      <c r="C9" s="29"/>
      <c r="D9" s="29"/>
      <c r="E9" s="29"/>
      <c r="F9" s="29">
        <v>7</v>
      </c>
      <c r="G9" s="29"/>
      <c r="H9" s="29"/>
      <c r="I9" s="29" t="s">
        <v>357</v>
      </c>
      <c r="J9" s="29"/>
      <c r="K9" s="2" t="s">
        <v>358</v>
      </c>
    </row>
    <row r="10" spans="1:11" x14ac:dyDescent="0.35">
      <c r="A10" s="26">
        <v>6</v>
      </c>
      <c r="B10" s="29" t="s">
        <v>360</v>
      </c>
      <c r="C10" s="29"/>
      <c r="D10" s="29"/>
      <c r="E10" s="29"/>
      <c r="F10" s="29">
        <v>7</v>
      </c>
      <c r="G10" s="29"/>
      <c r="H10" s="29"/>
      <c r="I10" s="29" t="s">
        <v>357</v>
      </c>
      <c r="J10" s="29"/>
      <c r="K10" s="2" t="s">
        <v>361</v>
      </c>
    </row>
    <row r="11" spans="1:11" x14ac:dyDescent="0.35">
      <c r="A11" s="26">
        <v>7</v>
      </c>
      <c r="B11" s="29" t="s">
        <v>362</v>
      </c>
      <c r="C11" s="29"/>
      <c r="D11" s="29"/>
      <c r="E11" s="29"/>
      <c r="F11" s="29">
        <v>8</v>
      </c>
      <c r="G11" s="29"/>
      <c r="H11" s="29"/>
      <c r="I11" s="29" t="s">
        <v>357</v>
      </c>
      <c r="J11" s="29"/>
      <c r="K11" s="2" t="s">
        <v>363</v>
      </c>
    </row>
    <row r="12" spans="1:11" x14ac:dyDescent="0.35">
      <c r="A12" s="26">
        <v>8</v>
      </c>
      <c r="B12" s="29" t="s">
        <v>365</v>
      </c>
      <c r="C12" s="29"/>
      <c r="D12" s="29"/>
      <c r="E12" s="29"/>
      <c r="F12" s="29">
        <v>5</v>
      </c>
      <c r="G12" s="29"/>
      <c r="H12" s="29"/>
      <c r="I12" s="29" t="s">
        <v>357</v>
      </c>
      <c r="J12" s="29"/>
      <c r="K12" s="2" t="s">
        <v>364</v>
      </c>
    </row>
    <row r="13" spans="1:11" ht="29" x14ac:dyDescent="0.35">
      <c r="A13" s="26">
        <v>9</v>
      </c>
      <c r="B13" s="29" t="s">
        <v>366</v>
      </c>
      <c r="C13" s="29"/>
      <c r="D13" s="29"/>
      <c r="E13" s="29"/>
      <c r="F13" s="29"/>
      <c r="G13" s="29"/>
      <c r="H13" s="29"/>
      <c r="I13" s="29"/>
      <c r="J13" s="29"/>
      <c r="K13" s="2" t="s">
        <v>367</v>
      </c>
    </row>
  </sheetData>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dimension ref="A1:W354"/>
  <sheetViews>
    <sheetView topLeftCell="A70" zoomScale="75" zoomScaleNormal="75" workbookViewId="0">
      <selection activeCell="C111" sqref="C111"/>
    </sheetView>
  </sheetViews>
  <sheetFormatPr defaultRowHeight="14.5" x14ac:dyDescent="0.35"/>
  <cols>
    <col min="1" max="1" width="49.1796875" customWidth="1"/>
    <col min="2" max="2" width="51.7265625" customWidth="1"/>
    <col min="3" max="3" width="9.1796875" customWidth="1"/>
    <col min="8" max="8" width="44.1796875" customWidth="1"/>
    <col min="9" max="9" width="28.7265625" customWidth="1"/>
  </cols>
  <sheetData>
    <row r="1" spans="1:23" x14ac:dyDescent="0.35">
      <c r="A1" t="s">
        <v>2</v>
      </c>
      <c r="B1" t="s">
        <v>3</v>
      </c>
      <c r="C1" t="s">
        <v>399</v>
      </c>
    </row>
    <row r="2" spans="1:23" x14ac:dyDescent="0.35">
      <c r="A2" t="s">
        <v>9</v>
      </c>
      <c r="B2" t="s">
        <v>10</v>
      </c>
      <c r="C2">
        <v>100</v>
      </c>
      <c r="J2" s="3" t="s">
        <v>188</v>
      </c>
      <c r="K2" s="9"/>
      <c r="L2" s="9"/>
      <c r="M2" s="9"/>
      <c r="N2" s="9"/>
      <c r="O2" s="9"/>
      <c r="P2" s="9"/>
      <c r="Q2" s="9"/>
      <c r="R2" s="9"/>
      <c r="S2" s="9"/>
      <c r="T2" s="9"/>
      <c r="U2" s="9"/>
      <c r="V2" s="9"/>
      <c r="W2" s="2"/>
    </row>
    <row r="3" spans="1:23" x14ac:dyDescent="0.35">
      <c r="A3" t="s">
        <v>14</v>
      </c>
      <c r="B3" t="s">
        <v>11</v>
      </c>
      <c r="C3">
        <v>200</v>
      </c>
      <c r="J3" s="9" t="s">
        <v>195</v>
      </c>
      <c r="K3" s="9"/>
      <c r="L3" s="9"/>
      <c r="M3" s="9"/>
      <c r="N3" s="9"/>
      <c r="O3" s="9">
        <v>4.0000000000000001E-3</v>
      </c>
      <c r="P3" s="9" t="s">
        <v>155</v>
      </c>
      <c r="Q3" s="9"/>
      <c r="R3" s="9" t="s">
        <v>159</v>
      </c>
      <c r="S3" s="9"/>
      <c r="T3" s="9"/>
      <c r="U3" s="9"/>
      <c r="V3" s="9"/>
      <c r="W3" s="2"/>
    </row>
    <row r="4" spans="1:23" x14ac:dyDescent="0.35">
      <c r="A4" t="s">
        <v>15</v>
      </c>
      <c r="B4" t="s">
        <v>12</v>
      </c>
      <c r="C4" s="2">
        <v>300</v>
      </c>
      <c r="J4" s="9" t="s">
        <v>190</v>
      </c>
      <c r="K4" s="9"/>
      <c r="L4" s="9"/>
      <c r="M4" s="9"/>
      <c r="N4" s="9"/>
      <c r="O4" s="9" t="e">
        <f>2*PI()*SQRT(Q5/(PI()))*1+2*PI()*((SQRT(Q5/(PI())))^2)</f>
        <v>#REF!</v>
      </c>
      <c r="P4" s="9" t="s">
        <v>196</v>
      </c>
      <c r="Q4" s="9" t="s">
        <v>315</v>
      </c>
      <c r="R4" s="9" t="s">
        <v>165</v>
      </c>
      <c r="S4" s="9"/>
      <c r="T4" s="9">
        <v>370</v>
      </c>
      <c r="U4" s="9" t="s">
        <v>156</v>
      </c>
      <c r="V4" s="9"/>
      <c r="W4" s="2"/>
    </row>
    <row r="5" spans="1:23" x14ac:dyDescent="0.35">
      <c r="A5" t="s">
        <v>16</v>
      </c>
      <c r="B5" t="s">
        <v>13</v>
      </c>
      <c r="C5" s="2">
        <v>400</v>
      </c>
      <c r="J5" s="9" t="s">
        <v>189</v>
      </c>
      <c r="K5" s="2"/>
      <c r="L5" s="2"/>
      <c r="M5" s="2"/>
      <c r="N5" s="2"/>
      <c r="O5" s="17" t="e">
        <f>(IF('Apkure (karstais ūdens) un ēkas'!#REF!='Dati apkure'!A2,0,IF('Apkure (karstais ūdens) un ēkas'!#REF!='Dati apkure'!A3,0.025,IF('Apkure (karstais ūdens) un ēkas'!#REF!='Dati apkure'!A4,0.05,IF('Apkure (karstais ūdens) un ēkas'!#REF!='Dati apkure'!A5,0.075,IF('Apkure (karstais ūdens) un ēkas'!#REF!='Dati apkure'!A6,0.05,IF('Apkure (karstais ūdens) un ēkas'!#REF!='Dati apkure'!A7,0.1)))))))</f>
        <v>#REF!</v>
      </c>
      <c r="P5" s="9" t="s">
        <v>155</v>
      </c>
      <c r="Q5" s="2" t="e">
        <f>('Apkure (karstais ūdens) un ēkas'!#REF!)/1000</f>
        <v>#REF!</v>
      </c>
      <c r="R5" s="9" t="s">
        <v>166</v>
      </c>
      <c r="S5" s="9"/>
      <c r="T5" s="9">
        <v>17</v>
      </c>
      <c r="U5" s="9" t="s">
        <v>156</v>
      </c>
      <c r="V5" s="9"/>
      <c r="W5" s="2"/>
    </row>
    <row r="6" spans="1:23" x14ac:dyDescent="0.35">
      <c r="A6" t="s">
        <v>116</v>
      </c>
      <c r="B6" t="s">
        <v>114</v>
      </c>
      <c r="C6" s="2">
        <v>500</v>
      </c>
      <c r="J6" s="9" t="s">
        <v>199</v>
      </c>
      <c r="K6" s="9"/>
      <c r="L6" s="9"/>
      <c r="M6" s="9"/>
      <c r="N6" s="9"/>
      <c r="O6" s="17" t="e">
        <f>(IF('Apkure (karstais ūdens) un ēkas'!#REF!='Dati apkure'!A2,0.036,IF('Apkure (karstais ūdens) un ēkas'!#REF!='Dati apkure'!A3,0.027,IF('Apkure (karstais ūdens) un ēkas'!#REF!='Dati apkure'!A4,0.027,IF('Apkure (karstais ūdens) un ēkas'!#REF!='Dati apkure'!A5,0.027,IF('Apkure (karstais ūdens) un ēkas'!#REF!='Dati apkure'!A6,0.036,IF('Apkure (karstais ūdens) un ēkas'!#REF!='Dati apkure'!A7,0.036)))))))</f>
        <v>#REF!</v>
      </c>
      <c r="P6" s="9" t="s">
        <v>156</v>
      </c>
      <c r="Q6" s="2"/>
      <c r="R6" s="9" t="s">
        <v>167</v>
      </c>
      <c r="S6" s="9"/>
      <c r="T6" s="9">
        <v>220</v>
      </c>
      <c r="U6" s="9" t="s">
        <v>156</v>
      </c>
      <c r="V6" s="9"/>
      <c r="W6" s="2"/>
    </row>
    <row r="7" spans="1:23" x14ac:dyDescent="0.35">
      <c r="A7" t="s">
        <v>114</v>
      </c>
      <c r="B7" t="s">
        <v>115</v>
      </c>
      <c r="C7" s="2">
        <v>600</v>
      </c>
      <c r="J7" s="9" t="s">
        <v>192</v>
      </c>
      <c r="K7" s="9"/>
      <c r="L7" s="9"/>
      <c r="M7" s="9"/>
      <c r="N7" s="9"/>
      <c r="O7" s="17">
        <v>17</v>
      </c>
      <c r="P7" s="9" t="s">
        <v>156</v>
      </c>
      <c r="Q7" s="9"/>
      <c r="R7" s="9" t="s">
        <v>316</v>
      </c>
      <c r="S7" s="2"/>
      <c r="T7" s="2"/>
      <c r="U7" s="2"/>
      <c r="V7" s="2"/>
      <c r="W7" s="2"/>
    </row>
    <row r="8" spans="1:23" x14ac:dyDescent="0.35">
      <c r="C8" s="2">
        <v>700</v>
      </c>
      <c r="J8" s="9" t="s">
        <v>193</v>
      </c>
      <c r="K8" s="9"/>
      <c r="L8" s="9"/>
      <c r="M8" s="9"/>
      <c r="N8" s="9"/>
      <c r="O8" s="9" t="e">
        <f>1/(0.13+O3/O7+O5/O6)</f>
        <v>#REF!</v>
      </c>
      <c r="P8" s="9" t="s">
        <v>194</v>
      </c>
      <c r="Q8" s="9"/>
      <c r="R8" s="9" t="s">
        <v>317</v>
      </c>
      <c r="S8" s="9"/>
      <c r="T8" s="9"/>
      <c r="U8" s="9"/>
      <c r="V8" s="9"/>
      <c r="W8" s="2"/>
    </row>
    <row r="9" spans="1:23" x14ac:dyDescent="0.35">
      <c r="C9" s="2">
        <v>800</v>
      </c>
      <c r="J9" s="9" t="s">
        <v>197</v>
      </c>
      <c r="K9" s="2"/>
      <c r="L9" s="2"/>
      <c r="M9" s="2"/>
      <c r="N9" s="2"/>
      <c r="O9" s="2" t="e">
        <f>O8*O4</f>
        <v>#REF!</v>
      </c>
      <c r="P9" s="9" t="s">
        <v>198</v>
      </c>
      <c r="Q9" s="2"/>
      <c r="R9" s="2"/>
      <c r="S9" s="2"/>
      <c r="T9" s="2"/>
      <c r="U9" s="2"/>
      <c r="V9" s="2"/>
      <c r="W9" s="2"/>
    </row>
    <row r="10" spans="1:23" x14ac:dyDescent="0.35">
      <c r="C10" s="2">
        <v>900</v>
      </c>
      <c r="J10" s="9" t="s">
        <v>163</v>
      </c>
      <c r="K10" s="9"/>
      <c r="L10" s="9"/>
      <c r="M10" s="9"/>
      <c r="N10" s="9"/>
      <c r="O10" s="9" t="e">
        <f>O9*203*24/1000*U19</f>
        <v>#REF!</v>
      </c>
      <c r="P10" s="9" t="s">
        <v>164</v>
      </c>
      <c r="Q10" s="9"/>
      <c r="R10" s="2"/>
      <c r="S10" s="2"/>
      <c r="T10" s="2"/>
      <c r="U10" s="2"/>
      <c r="V10" s="2"/>
      <c r="W10" s="2"/>
    </row>
    <row r="11" spans="1:23" x14ac:dyDescent="0.35">
      <c r="C11" s="2">
        <v>1000</v>
      </c>
      <c r="J11" s="3" t="s">
        <v>191</v>
      </c>
      <c r="K11" s="9"/>
      <c r="L11" s="9"/>
      <c r="M11" s="9"/>
      <c r="N11" s="9"/>
      <c r="O11" s="9"/>
      <c r="P11" s="9"/>
      <c r="Q11" s="9"/>
      <c r="R11" s="9"/>
      <c r="S11" s="9"/>
      <c r="T11" s="9"/>
      <c r="U11" s="9"/>
      <c r="V11" s="9"/>
      <c r="W11" s="2"/>
    </row>
    <row r="12" spans="1:23" x14ac:dyDescent="0.35">
      <c r="J12" s="9" t="s">
        <v>195</v>
      </c>
      <c r="K12" s="9"/>
      <c r="L12" s="9"/>
      <c r="M12" s="9"/>
      <c r="N12" s="9"/>
      <c r="O12" s="9">
        <f>O3</f>
        <v>4.0000000000000001E-3</v>
      </c>
      <c r="P12" s="9" t="s">
        <v>155</v>
      </c>
      <c r="Q12" s="9"/>
      <c r="R12" s="9" t="s">
        <v>159</v>
      </c>
      <c r="S12" s="9"/>
      <c r="T12" s="9"/>
      <c r="U12" s="9"/>
      <c r="V12" s="9"/>
      <c r="W12" s="2"/>
    </row>
    <row r="13" spans="1:23" x14ac:dyDescent="0.35">
      <c r="J13" s="9" t="s">
        <v>190</v>
      </c>
      <c r="K13" s="9"/>
      <c r="L13" s="9"/>
      <c r="M13" s="9"/>
      <c r="N13" s="9"/>
      <c r="O13" s="9" t="e">
        <f>O4</f>
        <v>#REF!</v>
      </c>
      <c r="P13" s="9" t="s">
        <v>196</v>
      </c>
      <c r="Q13" s="9"/>
      <c r="R13" s="9" t="s">
        <v>160</v>
      </c>
      <c r="S13" s="9"/>
      <c r="T13" s="9">
        <v>3.4000000000000002E-2</v>
      </c>
      <c r="U13" s="9" t="s">
        <v>156</v>
      </c>
      <c r="V13" s="9"/>
      <c r="W13" s="2"/>
    </row>
    <row r="14" spans="1:23" x14ac:dyDescent="0.35">
      <c r="J14" s="9" t="s">
        <v>189</v>
      </c>
      <c r="K14" s="9"/>
      <c r="L14" s="9"/>
      <c r="M14" s="9"/>
      <c r="N14" s="9"/>
      <c r="O14" s="17" t="e">
        <f>(IF('Apkure (karstais ūdens) un ēkas'!#REF!='Dati apkure'!B2,0.025,IF('Apkure (karstais ūdens) un ēkas'!#REF!='Dati apkure'!B3,0.05,IF('Apkure (karstais ūdens) un ēkas'!#REF!='Dati apkure'!B4,0.075,IF('Apkure (karstais ūdens) un ēkas'!#REF!='Dati apkure'!B5,0.1,IF('Apkure (karstais ūdens) un ēkas'!#REF!='Dati apkure'!B6,0.1,IF('Apkure (karstais ūdens) un ēkas'!#REF!='Dati apkure'!B7,0.15)))))))</f>
        <v>#REF!</v>
      </c>
      <c r="P14" s="9" t="s">
        <v>155</v>
      </c>
      <c r="Q14" s="9"/>
      <c r="R14" s="9" t="s">
        <v>161</v>
      </c>
      <c r="S14" s="9"/>
      <c r="T14" s="9">
        <v>3.5999999999999997E-2</v>
      </c>
      <c r="U14" s="9" t="s">
        <v>156</v>
      </c>
      <c r="V14" s="9"/>
      <c r="W14" s="2"/>
    </row>
    <row r="15" spans="1:23" x14ac:dyDescent="0.35">
      <c r="J15" s="9" t="s">
        <v>199</v>
      </c>
      <c r="K15" s="9"/>
      <c r="L15" s="9"/>
      <c r="M15" s="9"/>
      <c r="N15" s="9"/>
      <c r="O15" s="17" t="e">
        <f>(IF('Apkure (karstais ūdens) un ēkas'!#REF!='Dati apkure'!B2,0.027,IF('Apkure (karstais ūdens) un ēkas'!#REF!='Dati apkure'!B3,0.027,IF('Apkure (karstais ūdens) un ēkas'!#REF!='Dati apkure'!B4,0.027,IF('Apkure (karstais ūdens) un ēkas'!#REF!='Dati apkure'!B5,0.027,IF('Apkure (karstais ūdens) un ēkas'!#REF!='Dati apkure'!B6,0.036,IF('Apkure (karstais ūdens) un ēkas'!#REF!='Dati apkure'!B7,0.036)))))))</f>
        <v>#REF!</v>
      </c>
      <c r="P15" s="9" t="s">
        <v>156</v>
      </c>
      <c r="Q15" s="9"/>
      <c r="R15" s="9" t="s">
        <v>162</v>
      </c>
      <c r="S15" s="9"/>
      <c r="T15" s="9">
        <v>3.5999999999999997E-2</v>
      </c>
      <c r="U15" s="9" t="s">
        <v>156</v>
      </c>
      <c r="V15" s="9"/>
      <c r="W15" s="2"/>
    </row>
    <row r="16" spans="1:23" x14ac:dyDescent="0.35">
      <c r="J16" s="9" t="s">
        <v>192</v>
      </c>
      <c r="K16" s="9"/>
      <c r="L16" s="9"/>
      <c r="M16" s="9"/>
      <c r="N16" s="9"/>
      <c r="O16" s="17">
        <v>17</v>
      </c>
      <c r="P16" s="9" t="s">
        <v>156</v>
      </c>
      <c r="Q16" s="9"/>
      <c r="R16" s="9" t="s">
        <v>187</v>
      </c>
      <c r="S16" s="9"/>
      <c r="T16" s="9">
        <v>2.7E-2</v>
      </c>
      <c r="U16" s="9" t="s">
        <v>156</v>
      </c>
      <c r="V16" s="9"/>
      <c r="W16" s="2"/>
    </row>
    <row r="17" spans="1:23" x14ac:dyDescent="0.35">
      <c r="J17" s="9" t="s">
        <v>193</v>
      </c>
      <c r="K17" s="9"/>
      <c r="L17" s="9"/>
      <c r="M17" s="9"/>
      <c r="N17" s="9"/>
      <c r="O17" s="9" t="e">
        <f>1/(0.13+O12/O16+O14/O15)</f>
        <v>#REF!</v>
      </c>
      <c r="P17" s="9" t="s">
        <v>194</v>
      </c>
      <c r="Q17" s="9"/>
      <c r="R17" s="9" t="s">
        <v>169</v>
      </c>
      <c r="S17" s="9"/>
      <c r="T17" s="9"/>
      <c r="U17" s="9">
        <v>70</v>
      </c>
      <c r="V17" s="9" t="s">
        <v>143</v>
      </c>
      <c r="W17" s="2" t="s">
        <v>313</v>
      </c>
    </row>
    <row r="18" spans="1:23" x14ac:dyDescent="0.35">
      <c r="J18" s="9" t="s">
        <v>197</v>
      </c>
      <c r="K18" s="2"/>
      <c r="L18" s="2"/>
      <c r="M18" s="2"/>
      <c r="N18" s="2"/>
      <c r="O18" s="2" t="e">
        <f>O17*O13</f>
        <v>#REF!</v>
      </c>
      <c r="P18" s="9" t="s">
        <v>198</v>
      </c>
      <c r="Q18" s="2"/>
      <c r="R18" s="9" t="s">
        <v>170</v>
      </c>
      <c r="S18" s="9"/>
      <c r="T18" s="9"/>
      <c r="U18" s="9">
        <v>20</v>
      </c>
      <c r="V18" s="9" t="s">
        <v>143</v>
      </c>
      <c r="W18" s="9" t="s">
        <v>314</v>
      </c>
    </row>
    <row r="19" spans="1:23" x14ac:dyDescent="0.35">
      <c r="J19" s="9" t="s">
        <v>163</v>
      </c>
      <c r="K19" s="9"/>
      <c r="L19" s="9"/>
      <c r="M19" s="9"/>
      <c r="N19" s="9"/>
      <c r="O19" s="9" t="e">
        <f>O18*203*24/1000*U19</f>
        <v>#REF!</v>
      </c>
      <c r="P19" s="9" t="s">
        <v>209</v>
      </c>
      <c r="Q19" s="9"/>
      <c r="R19" s="9" t="s">
        <v>171</v>
      </c>
      <c r="S19" s="9"/>
      <c r="T19" s="9"/>
      <c r="U19" s="9">
        <f>U17-U18</f>
        <v>50</v>
      </c>
      <c r="V19" s="9" t="s">
        <v>143</v>
      </c>
      <c r="W19" s="2"/>
    </row>
    <row r="20" spans="1:23" x14ac:dyDescent="0.35">
      <c r="J20" s="3" t="s">
        <v>168</v>
      </c>
      <c r="K20" s="9"/>
      <c r="L20" s="9"/>
      <c r="M20" s="9"/>
      <c r="N20" s="9"/>
      <c r="O20" s="25" t="e">
        <f>O10-O19</f>
        <v>#REF!</v>
      </c>
      <c r="P20" s="9" t="s">
        <v>209</v>
      </c>
      <c r="Q20" s="9"/>
      <c r="R20" s="2"/>
      <c r="S20" s="2"/>
      <c r="T20" s="2"/>
      <c r="U20" s="2"/>
      <c r="V20" s="2"/>
      <c r="W20" s="2"/>
    </row>
    <row r="24" spans="1:23" x14ac:dyDescent="0.35">
      <c r="A24" t="s">
        <v>138</v>
      </c>
      <c r="B24" t="s">
        <v>139</v>
      </c>
      <c r="C24">
        <v>50</v>
      </c>
      <c r="J24" s="2" t="s">
        <v>128</v>
      </c>
      <c r="K24" s="2"/>
      <c r="L24" s="2"/>
      <c r="M24" s="2"/>
      <c r="N24" s="2"/>
      <c r="O24" s="2"/>
      <c r="P24" s="2">
        <v>0.4667</v>
      </c>
      <c r="Q24" s="2" t="s">
        <v>130</v>
      </c>
    </row>
    <row r="25" spans="1:23" x14ac:dyDescent="0.35">
      <c r="A25" t="s">
        <v>139</v>
      </c>
      <c r="B25" t="s">
        <v>140</v>
      </c>
      <c r="C25">
        <v>75</v>
      </c>
      <c r="J25" s="2" t="s">
        <v>129</v>
      </c>
      <c r="K25" s="2"/>
      <c r="L25" s="2"/>
      <c r="M25" s="2"/>
      <c r="N25" s="2"/>
      <c r="O25" s="2"/>
      <c r="P25" s="17" t="e">
        <f>'Apkure (karstais ūdens) un ēkas'!#REF!</f>
        <v>#REF!</v>
      </c>
      <c r="Q25" s="2" t="s">
        <v>131</v>
      </c>
    </row>
    <row r="26" spans="1:23" x14ac:dyDescent="0.35">
      <c r="A26" t="s">
        <v>140</v>
      </c>
      <c r="B26" t="s">
        <v>141</v>
      </c>
      <c r="C26">
        <v>100</v>
      </c>
      <c r="J26" s="2" t="s">
        <v>137</v>
      </c>
      <c r="K26" s="2"/>
      <c r="L26" s="2"/>
      <c r="M26" s="2"/>
      <c r="N26" s="2"/>
      <c r="O26" s="2"/>
      <c r="P26" s="2" t="e">
        <f>P25/P24/P29</f>
        <v>#REF!</v>
      </c>
      <c r="Q26" s="2" t="s">
        <v>132</v>
      </c>
    </row>
    <row r="27" spans="1:23" x14ac:dyDescent="0.35">
      <c r="A27" t="s">
        <v>141</v>
      </c>
      <c r="B27" t="s">
        <v>142</v>
      </c>
      <c r="C27">
        <v>125</v>
      </c>
      <c r="J27" s="2" t="s">
        <v>135</v>
      </c>
      <c r="K27" s="2"/>
      <c r="L27" s="2"/>
      <c r="M27" s="2"/>
      <c r="N27" s="2"/>
      <c r="O27" s="2"/>
      <c r="P27" s="2" t="e">
        <f>P26*P24*P29</f>
        <v>#REF!</v>
      </c>
      <c r="Q27" s="2" t="s">
        <v>131</v>
      </c>
    </row>
    <row r="28" spans="1:23" x14ac:dyDescent="0.35">
      <c r="C28">
        <v>150</v>
      </c>
      <c r="J28" s="2" t="s">
        <v>136</v>
      </c>
      <c r="K28" s="2"/>
      <c r="L28" s="2"/>
      <c r="M28" s="2"/>
      <c r="N28" s="2"/>
      <c r="O28" s="2"/>
      <c r="P28" s="2" t="e">
        <f>P27/P30/P24</f>
        <v>#REF!</v>
      </c>
      <c r="Q28" s="2" t="s">
        <v>132</v>
      </c>
    </row>
    <row r="29" spans="1:23" x14ac:dyDescent="0.35">
      <c r="C29">
        <v>175</v>
      </c>
      <c r="J29" s="2" t="s">
        <v>275</v>
      </c>
      <c r="K29" s="2"/>
      <c r="L29" s="2"/>
      <c r="M29" s="2"/>
      <c r="N29" s="2"/>
      <c r="O29" s="2"/>
      <c r="P29" s="17" t="e">
        <f>(IF('Apkure (karstais ūdens) un ēkas'!#REF!='Dati apkure'!A24,0.6,IF('Apkure (karstais ūdens) un ēkas'!#REF!='Dati apkure'!A25,0.7,IF('Apkure (karstais ūdens) un ēkas'!#REF!='Dati apkure'!A26,0.8,IF('Apkure (karstais ūdens) un ēkas'!#REF!='Dati apkure'!A27,0.9)))))</f>
        <v>#REF!</v>
      </c>
      <c r="Q29" s="2"/>
    </row>
    <row r="30" spans="1:23" x14ac:dyDescent="0.35">
      <c r="C30">
        <v>200</v>
      </c>
      <c r="J30" s="2" t="s">
        <v>276</v>
      </c>
      <c r="K30" s="2"/>
      <c r="L30" s="2"/>
      <c r="M30" s="2"/>
      <c r="N30" s="2"/>
      <c r="O30" s="2"/>
      <c r="P30" s="17" t="e">
        <f>(IF('Apkure (karstais ūdens) un ēkas'!#REF!='Dati apkure'!B24,0.7,IF('Apkure (karstais ūdens) un ēkas'!#REF!='Dati apkure'!B25,0.8,IF('Apkure (karstais ūdens) un ēkas'!#REF!='Dati apkure'!B26,0.9,IF('Apkure (karstais ūdens) un ēkas'!#REF!='Dati apkure'!B27,0.95)))))</f>
        <v>#REF!</v>
      </c>
      <c r="Q30" s="2"/>
    </row>
    <row r="31" spans="1:23" x14ac:dyDescent="0.35">
      <c r="C31">
        <v>225</v>
      </c>
      <c r="J31" s="2" t="s">
        <v>134</v>
      </c>
      <c r="K31" s="2"/>
      <c r="L31" s="2"/>
      <c r="M31" s="2"/>
      <c r="N31" s="2"/>
      <c r="O31" s="2"/>
      <c r="P31" s="2" t="e">
        <f>P26-P28</f>
        <v>#REF!</v>
      </c>
      <c r="Q31" s="2" t="s">
        <v>132</v>
      </c>
    </row>
    <row r="32" spans="1:23" x14ac:dyDescent="0.35">
      <c r="C32">
        <v>250</v>
      </c>
      <c r="J32" s="2" t="s">
        <v>133</v>
      </c>
      <c r="K32" s="2"/>
      <c r="L32" s="2"/>
      <c r="M32" s="2"/>
      <c r="N32" s="2"/>
      <c r="O32" s="2"/>
      <c r="P32" s="32" t="e">
        <f>(P25/P29)-(P25/P30)</f>
        <v>#REF!</v>
      </c>
      <c r="Q32" s="2" t="s">
        <v>131</v>
      </c>
    </row>
    <row r="33" spans="1:23" x14ac:dyDescent="0.35">
      <c r="C33">
        <v>275</v>
      </c>
    </row>
    <row r="34" spans="1:23" x14ac:dyDescent="0.35">
      <c r="C34">
        <v>300</v>
      </c>
    </row>
    <row r="35" spans="1:23" x14ac:dyDescent="0.35">
      <c r="C35">
        <v>325</v>
      </c>
    </row>
    <row r="36" spans="1:23" x14ac:dyDescent="0.35">
      <c r="C36">
        <v>350</v>
      </c>
    </row>
    <row r="37" spans="1:23" x14ac:dyDescent="0.35">
      <c r="C37">
        <v>375</v>
      </c>
    </row>
    <row r="38" spans="1:23" x14ac:dyDescent="0.35">
      <c r="C38">
        <v>400</v>
      </c>
    </row>
    <row r="42" spans="1:23" x14ac:dyDescent="0.35">
      <c r="A42" t="s">
        <v>144</v>
      </c>
      <c r="B42" t="s">
        <v>145</v>
      </c>
      <c r="C42" t="s">
        <v>179</v>
      </c>
      <c r="J42" s="3" t="s">
        <v>2</v>
      </c>
      <c r="K42" s="9"/>
      <c r="L42" s="9"/>
      <c r="M42" s="9"/>
      <c r="N42" s="9"/>
      <c r="O42" s="9"/>
      <c r="P42" s="9"/>
      <c r="Q42" s="9"/>
      <c r="R42" s="9"/>
      <c r="S42" s="9"/>
      <c r="T42" s="9"/>
      <c r="U42" s="9"/>
      <c r="V42" s="9"/>
      <c r="W42" s="9"/>
    </row>
    <row r="43" spans="1:23" x14ac:dyDescent="0.35">
      <c r="A43" t="s">
        <v>400</v>
      </c>
      <c r="B43" t="s">
        <v>146</v>
      </c>
      <c r="C43" t="s">
        <v>84</v>
      </c>
      <c r="J43" s="9" t="s">
        <v>151</v>
      </c>
      <c r="K43" s="9"/>
      <c r="L43" s="9"/>
      <c r="M43" s="9"/>
      <c r="N43" s="9"/>
      <c r="O43" s="9">
        <v>1.4E-2</v>
      </c>
      <c r="P43" s="9" t="s">
        <v>155</v>
      </c>
      <c r="Q43" s="9"/>
      <c r="R43" s="9" t="s">
        <v>159</v>
      </c>
      <c r="S43" s="9"/>
      <c r="T43" s="9"/>
      <c r="U43" s="9"/>
      <c r="V43" s="9"/>
      <c r="W43" s="9"/>
    </row>
    <row r="44" spans="1:23" x14ac:dyDescent="0.35">
      <c r="A44" t="s">
        <v>401</v>
      </c>
      <c r="B44" t="s">
        <v>149</v>
      </c>
      <c r="C44" t="s">
        <v>396</v>
      </c>
      <c r="J44" s="9" t="s">
        <v>152</v>
      </c>
      <c r="K44" s="9"/>
      <c r="L44" s="9"/>
      <c r="M44" s="9"/>
      <c r="N44" s="9"/>
      <c r="O44" s="9">
        <v>1.4999999999999999E-2</v>
      </c>
      <c r="P44" s="9" t="s">
        <v>155</v>
      </c>
      <c r="Q44" s="9"/>
      <c r="R44" s="9" t="s">
        <v>165</v>
      </c>
      <c r="S44" s="9"/>
      <c r="T44" s="9">
        <v>370</v>
      </c>
      <c r="U44" s="9" t="s">
        <v>156</v>
      </c>
      <c r="V44" s="9"/>
      <c r="W44" s="9"/>
    </row>
    <row r="45" spans="1:23" x14ac:dyDescent="0.35">
      <c r="B45" t="s">
        <v>147</v>
      </c>
      <c r="J45" s="9" t="s">
        <v>153</v>
      </c>
      <c r="K45" s="9"/>
      <c r="L45" s="9"/>
      <c r="M45" s="9"/>
      <c r="N45" s="9"/>
      <c r="O45" s="17" t="e">
        <f>(IF('Apkure (karstais ūdens) un ēkas'!#REF!='Dati apkure'!C42,T44,IF('Apkure (karstais ūdens) un ēkas'!#REF!='Dati apkure'!C43,T45,IF('Apkure (karstais ūdens) un ēkas'!#REF!='Dati apkure'!C44,T47))))</f>
        <v>#REF!</v>
      </c>
      <c r="P45" s="9" t="s">
        <v>156</v>
      </c>
      <c r="Q45" s="9"/>
      <c r="R45" s="9" t="s">
        <v>166</v>
      </c>
      <c r="S45" s="9"/>
      <c r="T45" s="9">
        <v>17</v>
      </c>
      <c r="U45" s="9" t="s">
        <v>156</v>
      </c>
      <c r="V45" s="9"/>
      <c r="W45" s="9"/>
    </row>
    <row r="46" spans="1:23" x14ac:dyDescent="0.35">
      <c r="B46" t="s">
        <v>148</v>
      </c>
      <c r="J46" s="9" t="s">
        <v>154</v>
      </c>
      <c r="K46" s="9"/>
      <c r="L46" s="9"/>
      <c r="M46" s="9"/>
      <c r="N46" s="9"/>
      <c r="O46" s="9" t="e">
        <f>(IF('Apkure (karstais ūdens) un ēkas'!#REF!='Dati apkure'!A42,0.036,IF('Apkure (karstais ūdens) un ēkas'!#REF!='Dati apkure'!A43,0.036,IF('Apkure (karstais ūdens) un ēkas'!#REF!='Dati apkure'!A44,0.036))))</f>
        <v>#REF!</v>
      </c>
      <c r="P46" s="9" t="s">
        <v>156</v>
      </c>
      <c r="Q46" s="9"/>
      <c r="R46" s="9" t="s">
        <v>167</v>
      </c>
      <c r="S46" s="9"/>
      <c r="T46" s="9">
        <v>220</v>
      </c>
      <c r="U46" s="9" t="s">
        <v>156</v>
      </c>
      <c r="V46" s="9"/>
      <c r="W46" s="9"/>
    </row>
    <row r="47" spans="1:23" x14ac:dyDescent="0.35">
      <c r="B47" t="s">
        <v>150</v>
      </c>
      <c r="J47" s="9" t="s">
        <v>158</v>
      </c>
      <c r="K47" s="9"/>
      <c r="L47" s="9"/>
      <c r="M47" s="9"/>
      <c r="N47" s="9"/>
      <c r="O47" s="17" t="e">
        <f>(IF('Apkure (karstais ūdens) un ēkas'!#REF!='Dati apkure'!A42,0,IF('Apkure (karstais ūdens) un ēkas'!#REF!='Dati apkure'!A43,0.02,IF('Apkure (karstais ūdens) un ēkas'!#REF!='Dati apkure'!A44,0.04))))</f>
        <v>#REF!</v>
      </c>
      <c r="P47" s="9" t="s">
        <v>155</v>
      </c>
      <c r="Q47" s="9"/>
      <c r="R47" s="9" t="s">
        <v>319</v>
      </c>
      <c r="S47" s="9"/>
      <c r="T47" s="9">
        <v>0.22</v>
      </c>
      <c r="U47" s="9" t="s">
        <v>156</v>
      </c>
      <c r="V47" s="9"/>
      <c r="W47" s="9"/>
    </row>
    <row r="48" spans="1:23" x14ac:dyDescent="0.35">
      <c r="B48" t="s">
        <v>173</v>
      </c>
      <c r="J48" s="9" t="s">
        <v>157</v>
      </c>
      <c r="K48" s="9"/>
      <c r="L48" s="9"/>
      <c r="M48" s="9"/>
      <c r="N48" s="9"/>
      <c r="O48" s="9" t="e">
        <f>1/((1/(3000*PI()*O43))+(LN(O44/O43)/(2*PI()*O45))+(LN((O44+2*O47)/O44)/(2*PI()*O46))+(1/(15*PI()*(O44+2*O47))))</f>
        <v>#REF!</v>
      </c>
      <c r="P48" s="9" t="s">
        <v>172</v>
      </c>
    </row>
    <row r="49" spans="1:23" x14ac:dyDescent="0.35">
      <c r="B49" t="s">
        <v>174</v>
      </c>
      <c r="J49" s="9" t="s">
        <v>163</v>
      </c>
      <c r="K49" s="9"/>
      <c r="L49" s="9"/>
      <c r="M49" s="9"/>
      <c r="N49" s="9"/>
      <c r="O49" s="9" t="e">
        <f>O48*203*24/1000*U58</f>
        <v>#REF!</v>
      </c>
      <c r="P49" s="9" t="s">
        <v>164</v>
      </c>
    </row>
    <row r="50" spans="1:23" x14ac:dyDescent="0.35">
      <c r="B50" t="s">
        <v>175</v>
      </c>
      <c r="J50" s="3" t="s">
        <v>3</v>
      </c>
      <c r="K50" s="9"/>
      <c r="L50" s="9"/>
      <c r="M50" s="9"/>
      <c r="N50" s="9"/>
      <c r="O50" s="9"/>
      <c r="P50" s="9"/>
      <c r="Q50" s="9"/>
      <c r="R50" s="9"/>
      <c r="S50" s="9"/>
      <c r="T50" s="9"/>
      <c r="U50" s="9"/>
      <c r="V50" s="9"/>
      <c r="W50" s="9"/>
    </row>
    <row r="51" spans="1:23" x14ac:dyDescent="0.35">
      <c r="B51" t="s">
        <v>176</v>
      </c>
      <c r="J51" s="9" t="s">
        <v>151</v>
      </c>
      <c r="K51" s="9"/>
      <c r="L51" s="9"/>
      <c r="M51" s="9"/>
      <c r="N51" s="9"/>
      <c r="O51" s="9">
        <v>1.4E-2</v>
      </c>
      <c r="P51" s="9" t="s">
        <v>155</v>
      </c>
      <c r="Q51" s="9"/>
      <c r="R51" s="9" t="s">
        <v>159</v>
      </c>
      <c r="S51" s="9"/>
      <c r="T51" s="9"/>
      <c r="U51" s="9"/>
      <c r="V51" s="9"/>
      <c r="W51" s="9"/>
    </row>
    <row r="52" spans="1:23" x14ac:dyDescent="0.35">
      <c r="B52" t="s">
        <v>177</v>
      </c>
      <c r="J52" s="9" t="s">
        <v>152</v>
      </c>
      <c r="K52" s="9"/>
      <c r="L52" s="9"/>
      <c r="M52" s="9"/>
      <c r="N52" s="9"/>
      <c r="O52" s="9">
        <v>1.4999999999999999E-2</v>
      </c>
      <c r="P52" s="9" t="s">
        <v>155</v>
      </c>
      <c r="Q52" s="9"/>
      <c r="R52" s="9" t="s">
        <v>160</v>
      </c>
      <c r="S52" s="9"/>
      <c r="T52" s="9">
        <v>3.4000000000000002E-2</v>
      </c>
      <c r="U52" s="9" t="s">
        <v>156</v>
      </c>
      <c r="V52" s="9"/>
      <c r="W52" s="9"/>
    </row>
    <row r="53" spans="1:23" x14ac:dyDescent="0.35">
      <c r="B53" t="s">
        <v>178</v>
      </c>
      <c r="J53" s="9" t="s">
        <v>153</v>
      </c>
      <c r="K53" s="9"/>
      <c r="L53" s="9"/>
      <c r="M53" s="9"/>
      <c r="N53" s="9"/>
      <c r="O53" s="17" t="e">
        <f>(IF('Apkure (karstais ūdens) un ēkas'!#REF!='Dati apkure'!C42,370,IF('Apkure (karstais ūdens) un ēkas'!#REF!='Dati apkure'!C43,17,IF('Apkure (karstais ūdens) un ēkas'!#REF!='Dati apkure'!C44,0.22))))</f>
        <v>#REF!</v>
      </c>
      <c r="P53" s="9" t="s">
        <v>156</v>
      </c>
      <c r="Q53" s="9"/>
      <c r="R53" s="9" t="s">
        <v>161</v>
      </c>
      <c r="S53" s="9"/>
      <c r="T53" s="9">
        <v>3.5999999999999997E-2</v>
      </c>
      <c r="U53" s="9" t="s">
        <v>156</v>
      </c>
      <c r="V53" s="9"/>
      <c r="W53" s="9"/>
    </row>
    <row r="54" spans="1:23" x14ac:dyDescent="0.35">
      <c r="B54" t="s">
        <v>180</v>
      </c>
      <c r="J54" s="9" t="s">
        <v>154</v>
      </c>
      <c r="K54" s="9"/>
      <c r="L54" s="9"/>
      <c r="M54" s="9"/>
      <c r="N54" s="9"/>
      <c r="O54" s="9" t="e">
        <f>(IF('Apkure (karstais ūdens) un ēkas'!#REF!='Dati apkure'!B42,0.034,IF('Apkure (karstais ūdens) un ēkas'!#REF!='Dati apkure'!B43,0.034,IF('Apkure (karstais ūdens) un ēkas'!#REF!='Dati apkure'!B44,0.034,IF('Apkure (karstais ūdens) un ēkas'!#REF!='Dati apkure'!B45,0.034,IF('Apkure (karstais ūdens) un ēkas'!#REF!='Dati apkure'!B46,0.034,IF('Apkure (karstais ūdens) un ēkas'!#REF!='Dati apkure'!B47,0.034,IF('Apkure (karstais ūdens) un ēkas'!#REF!='Dati apkure'!B48,0.036,IF('Apkure (karstais ūdens) un ēkas'!#REF!='Dati apkure'!B49,0.036,IF('Apkure (karstais ūdens) un ēkas'!#REF!='Dati apkure'!B50,0.036,IF('Apkure (karstais ūdens) un ēkas'!#REF!='Dati apkure'!B51,0.036,IF('Apkure (karstais ūdens) un ēkas'!#REF!='Dati apkure'!B52,0.036,IF('Apkure (karstais ūdens) un ēkas'!#REF!='Dati apkure'!B53,0.036,IF('Apkure (karstais ūdens) un ēkas'!#REF!='Dati apkure'!B54,0.027,IF('Apkure (karstais ūdens) un ēkas'!#REF!='Dati apkure'!B55,0.027,IF('Apkure (karstais ūdens) un ēkas'!#REF!='Dati apkure'!B56,0.027,IF('Apkure (karstais ūdens) un ēkas'!#REF!='Dati apkure'!B57,0.027,IF('Apkure (karstais ūdens) un ēkas'!#REF!='Dati apkure'!B58,0.027,IF('Apkure (karstais ūdens) un ēkas'!#REF!='Dati apkure'!B59,0.027,IF('Apkure (karstais ūdens) un ēkas'!#REF!='Dati apkure'!B60,0.027))))))))))))))))))))</f>
        <v>#REF!</v>
      </c>
      <c r="P54" s="9" t="s">
        <v>156</v>
      </c>
      <c r="Q54" s="9"/>
      <c r="R54" s="9" t="s">
        <v>162</v>
      </c>
      <c r="S54" s="9"/>
      <c r="T54" s="9">
        <v>3.5999999999999997E-2</v>
      </c>
      <c r="U54" s="9" t="s">
        <v>156</v>
      </c>
      <c r="V54" s="9"/>
      <c r="W54" s="9"/>
    </row>
    <row r="55" spans="1:23" x14ac:dyDescent="0.35">
      <c r="B55" t="s">
        <v>181</v>
      </c>
      <c r="J55" s="9" t="s">
        <v>158</v>
      </c>
      <c r="K55" s="9"/>
      <c r="L55" s="9"/>
      <c r="M55" s="9"/>
      <c r="N55" s="9"/>
      <c r="O55" s="17" t="e">
        <f>(IF('Apkure (karstais ūdens) un ēkas'!#REF!='Dati apkure'!B42,0.009,IF('Apkure (karstais ūdens) un ēkas'!#REF!='Dati apkure'!B43,0.013,IF('Apkure (karstais ūdens) un ēkas'!#REF!='Dati apkure'!B44,0.019,IF('Apkure (karstais ūdens) un ēkas'!#REF!='Dati apkure'!B45,0.025,IF('Apkure (karstais ūdens) un ēkas'!#REF!='Dati apkure'!B46,0.032,IF('Apkure (karstais ūdens) un ēkas'!#REF!='Dati apkure'!B47,0.02,IF('Apkure (karstais ūdens) un ēkas'!#REF!='Dati apkure'!B48,0.03,IF('Apkure (karstais ūdens) un ēkas'!#REF!='Dati apkure'!B49,0.04,IF('Apkure (karstais ūdens) un ēkas'!#REF!='Dati apkure'!B50,0.05,IF('Apkure (karstais ūdens) un ēkas'!#REF!='Dati apkure'!B51,0.06,IF('Apkure (karstais ūdens) un ēkas'!#REF!='Dati apkure'!B52,0.07,IF('Apkure (karstais ūdens) un ēkas'!#REF!='Dati apkure'!B53,0.08,IF('Apkure (karstais ūdens) un ēkas'!#REF!='Dati apkure'!B54,0.02,IF('Apkure (karstais ūdens) un ēkas'!#REF!='Dati apkure'!B55,0.03,IF('Apkure (karstais ūdens) un ēkas'!#REF!='Dati apkure'!B56,0.04,IF('Apkure (karstais ūdens) un ēkas'!#REF!='Dati apkure'!B57,0.05,IF('Apkure (karstais ūdens) un ēkas'!#REF!='Dati apkure'!B58,0.06,IF('Apkure (karstais ūdens) un ēkas'!#REF!='Dati apkure'!B59,0.07,IF('Apkure (karstais ūdens) un ēkas'!#REF!='Dati apkure'!B60,0.08))))))))))))))))))))</f>
        <v>#REF!</v>
      </c>
      <c r="P55" s="9" t="s">
        <v>155</v>
      </c>
      <c r="Q55" s="9"/>
      <c r="R55" s="9" t="s">
        <v>187</v>
      </c>
      <c r="S55" s="9"/>
      <c r="T55" s="9">
        <v>2.7E-2</v>
      </c>
      <c r="U55" s="9" t="s">
        <v>156</v>
      </c>
      <c r="V55" s="9"/>
      <c r="W55" s="9"/>
    </row>
    <row r="56" spans="1:23" x14ac:dyDescent="0.35">
      <c r="B56" t="s">
        <v>182</v>
      </c>
      <c r="J56" s="9" t="s">
        <v>157</v>
      </c>
      <c r="K56" s="9"/>
      <c r="L56" s="9"/>
      <c r="M56" s="9"/>
      <c r="N56" s="9"/>
      <c r="O56" s="9" t="e">
        <f>1/((1/(3000*PI()*O51))+(LN(O52/O51)/(2*PI()*O53))+(LN((O52+2*O55)/O52)/(2*PI()*O54))+(1/(15*PI()*(O52+2*O55))))</f>
        <v>#REF!</v>
      </c>
      <c r="P56" s="9" t="s">
        <v>172</v>
      </c>
      <c r="Q56" s="9"/>
      <c r="R56" s="9" t="s">
        <v>169</v>
      </c>
      <c r="S56" s="9"/>
      <c r="T56" s="9"/>
      <c r="U56" s="9">
        <v>45</v>
      </c>
      <c r="V56" s="9" t="s">
        <v>143</v>
      </c>
      <c r="W56" s="9"/>
    </row>
    <row r="57" spans="1:23" x14ac:dyDescent="0.35">
      <c r="B57" t="s">
        <v>183</v>
      </c>
      <c r="J57" s="9" t="s">
        <v>163</v>
      </c>
      <c r="K57" s="9"/>
      <c r="L57" s="9"/>
      <c r="M57" s="9"/>
      <c r="N57" s="9"/>
      <c r="O57" s="9" t="e">
        <f>O56*203*24/1000*U58</f>
        <v>#REF!</v>
      </c>
      <c r="P57" s="9" t="s">
        <v>164</v>
      </c>
      <c r="Q57" s="9"/>
      <c r="R57" s="9" t="s">
        <v>170</v>
      </c>
      <c r="S57" s="9"/>
      <c r="T57" s="9"/>
      <c r="U57" s="9">
        <v>18</v>
      </c>
      <c r="V57" s="9" t="s">
        <v>143</v>
      </c>
      <c r="W57" s="9" t="s">
        <v>277</v>
      </c>
    </row>
    <row r="58" spans="1:23" x14ac:dyDescent="0.35">
      <c r="B58" t="s">
        <v>184</v>
      </c>
      <c r="J58" s="3" t="s">
        <v>168</v>
      </c>
      <c r="K58" s="9"/>
      <c r="L58" s="9"/>
      <c r="M58" s="9"/>
      <c r="N58" s="9"/>
      <c r="O58" s="25" t="e">
        <f>O49-O57</f>
        <v>#REF!</v>
      </c>
      <c r="P58" s="9" t="s">
        <v>164</v>
      </c>
      <c r="Q58" s="9"/>
      <c r="R58" s="9" t="s">
        <v>171</v>
      </c>
      <c r="S58" s="9"/>
      <c r="T58" s="9"/>
      <c r="U58" s="9">
        <f>U56-U57</f>
        <v>27</v>
      </c>
      <c r="V58" s="9" t="s">
        <v>143</v>
      </c>
      <c r="W58" s="9"/>
    </row>
    <row r="59" spans="1:23" x14ac:dyDescent="0.35">
      <c r="B59" t="s">
        <v>185</v>
      </c>
    </row>
    <row r="60" spans="1:23" x14ac:dyDescent="0.35">
      <c r="B60" t="s">
        <v>186</v>
      </c>
    </row>
    <row r="63" spans="1:23" x14ac:dyDescent="0.35">
      <c r="A63" t="s">
        <v>335</v>
      </c>
      <c r="J63" t="e">
        <f>(IF('Apkure (karstais ūdens) un ēkas'!#REF!='Dati apkure'!B64,A64,IF('Apkure (karstais ūdens) un ēkas'!#REF!='Dati apkure'!B65,A65,IF('Apkure (karstais ūdens) un ēkas'!#REF!='Dati apkure'!B66,A66,IF('Apkure (karstais ūdens) un ēkas'!#REF!='Dati apkure'!B67,A67)))))</f>
        <v>#REF!</v>
      </c>
    </row>
    <row r="64" spans="1:23" x14ac:dyDescent="0.35">
      <c r="A64">
        <v>4.399</v>
      </c>
      <c r="B64" t="s">
        <v>95</v>
      </c>
      <c r="J64" t="e">
        <f>(IF('Apkure (karstais ūdens) un ēkas'!#REF!='Dati apkure'!B64,A64,IF('Apkure (karstais ūdens) un ēkas'!#REF!='Dati apkure'!B65,A65,IF('Apkure (karstais ūdens) un ēkas'!#REF!='Dati apkure'!B66,A66,IF('Apkure (karstais ūdens) un ēkas'!#REF!='Dati apkure'!B67,A67)))))</f>
        <v>#REF!</v>
      </c>
    </row>
    <row r="65" spans="1:10" x14ac:dyDescent="0.35">
      <c r="A65">
        <v>4.18</v>
      </c>
      <c r="B65" t="s">
        <v>109</v>
      </c>
    </row>
    <row r="66" spans="1:10" x14ac:dyDescent="0.35">
      <c r="A66">
        <v>3.96</v>
      </c>
      <c r="B66" t="s">
        <v>110</v>
      </c>
    </row>
    <row r="67" spans="1:10" x14ac:dyDescent="0.35">
      <c r="A67">
        <v>3.88</v>
      </c>
      <c r="B67" t="s">
        <v>111</v>
      </c>
    </row>
    <row r="70" spans="1:10" x14ac:dyDescent="0.35">
      <c r="A70" t="s">
        <v>402</v>
      </c>
      <c r="J70" t="e">
        <f>(IF('Apkure (karstais ūdens) un ēkas'!#REF!='Dati apkure'!B64,A71,IF('Apkure (karstais ūdens) un ēkas'!#REF!='Dati apkure'!B65,A72,IF('Apkure (karstais ūdens) un ēkas'!#REF!='Dati apkure'!B66,A73,IF('Apkure (karstais ūdens) un ēkas'!#REF!='Dati apkure'!B67,A74)))))</f>
        <v>#REF!</v>
      </c>
    </row>
    <row r="71" spans="1:10" x14ac:dyDescent="0.35">
      <c r="A71">
        <v>2.2000000000000002</v>
      </c>
      <c r="B71" s="2" t="s">
        <v>95</v>
      </c>
    </row>
    <row r="72" spans="1:10" x14ac:dyDescent="0.35">
      <c r="A72">
        <v>2.09</v>
      </c>
      <c r="B72" s="2" t="s">
        <v>109</v>
      </c>
    </row>
    <row r="73" spans="1:10" x14ac:dyDescent="0.35">
      <c r="A73">
        <v>1.98</v>
      </c>
      <c r="B73" s="2" t="s">
        <v>110</v>
      </c>
    </row>
    <row r="74" spans="1:10" x14ac:dyDescent="0.35">
      <c r="A74">
        <v>1.94</v>
      </c>
      <c r="B74" s="2" t="s">
        <v>111</v>
      </c>
    </row>
    <row r="76" spans="1:10" x14ac:dyDescent="0.35">
      <c r="A76" t="s">
        <v>96</v>
      </c>
      <c r="J76" t="e">
        <f>(IF('Apkure (karstais ūdens) un ēkas'!#REF!='Dati apkure'!B64,A77,IF('Apkure (karstais ūdens) un ēkas'!#REF!='Dati apkure'!B65,A78,IF('Apkure (karstais ūdens) un ēkas'!#REF!='Dati apkure'!B66,A79,IF('Apkure (karstais ūdens) un ēkas'!#REF!='Dati apkure'!B67,A80)))))</f>
        <v>#REF!</v>
      </c>
    </row>
    <row r="77" spans="1:10" x14ac:dyDescent="0.35">
      <c r="A77">
        <v>4.4000000000000004</v>
      </c>
    </row>
    <row r="78" spans="1:10" x14ac:dyDescent="0.35">
      <c r="A78">
        <v>4.18</v>
      </c>
    </row>
    <row r="79" spans="1:10" x14ac:dyDescent="0.35">
      <c r="A79">
        <v>3.96</v>
      </c>
    </row>
    <row r="80" spans="1:10" x14ac:dyDescent="0.35">
      <c r="A80">
        <v>3.88</v>
      </c>
    </row>
    <row r="82" spans="1:10" x14ac:dyDescent="0.35">
      <c r="A82" t="s">
        <v>336</v>
      </c>
      <c r="J82" t="e">
        <f>(IF('Apkure (karstais ūdens) un ēkas'!#REF!='Dati apkure'!B64,A83,IF('Apkure (karstais ūdens) un ēkas'!#REF!='Dati apkure'!B65,A84,IF('Apkure (karstais ūdens) un ēkas'!#REF!='Dati apkure'!B66,A85,IF('Apkure (karstais ūdens) un ēkas'!#REF!='Dati apkure'!B67,A86)))))</f>
        <v>#REF!</v>
      </c>
    </row>
    <row r="83" spans="1:10" x14ac:dyDescent="0.35">
      <c r="A83">
        <v>3.3</v>
      </c>
    </row>
    <row r="84" spans="1:10" x14ac:dyDescent="0.35">
      <c r="A84">
        <v>3.1349999999999998</v>
      </c>
    </row>
    <row r="85" spans="1:10" x14ac:dyDescent="0.35">
      <c r="A85">
        <v>2.97</v>
      </c>
    </row>
    <row r="86" spans="1:10" x14ac:dyDescent="0.35">
      <c r="A86">
        <v>2.91</v>
      </c>
    </row>
    <row r="88" spans="1:10" x14ac:dyDescent="0.35">
      <c r="A88" t="s">
        <v>99</v>
      </c>
      <c r="J88" t="e">
        <f>(IF('Apkure (karstais ūdens) un ēkas'!#REF!='Dati apkure'!B64,A89,IF('Apkure (karstais ūdens) un ēkas'!#REF!='Dati apkure'!B65,A90,IF('Apkure (karstais ūdens) un ēkas'!#REF!='Dati apkure'!B66,A91,IF('Apkure (karstais ūdens) un ēkas'!#REF!='Dati apkure'!B67,A92)))))</f>
        <v>#REF!</v>
      </c>
    </row>
    <row r="89" spans="1:10" x14ac:dyDescent="0.35">
      <c r="A89">
        <v>10.999000000000001</v>
      </c>
      <c r="B89" t="s">
        <v>97</v>
      </c>
    </row>
    <row r="90" spans="1:10" x14ac:dyDescent="0.35">
      <c r="A90">
        <v>10.45</v>
      </c>
    </row>
    <row r="91" spans="1:10" x14ac:dyDescent="0.35">
      <c r="A91">
        <v>9.9</v>
      </c>
    </row>
    <row r="92" spans="1:10" x14ac:dyDescent="0.35">
      <c r="A92">
        <v>9.6999999999999993</v>
      </c>
      <c r="B92" t="s">
        <v>97</v>
      </c>
    </row>
    <row r="93" spans="1:10" x14ac:dyDescent="0.35">
      <c r="A93">
        <v>8.7989999999999995</v>
      </c>
      <c r="B93" t="s">
        <v>98</v>
      </c>
      <c r="J93" t="e">
        <f>(IF('Apkure (karstais ūdens) un ēkas'!#REF!='Dati apkure'!B64,A93,IF('Apkure (karstais ūdens) un ēkas'!#REF!='Dati apkure'!B65,A94,IF('Apkure (karstais ūdens) un ēkas'!#REF!='Dati apkure'!B66,A95,IF('Apkure (karstais ūdens) un ēkas'!#REF!='Dati apkure'!B67,A96)))))</f>
        <v>#REF!</v>
      </c>
    </row>
    <row r="94" spans="1:10" x14ac:dyDescent="0.35">
      <c r="A94">
        <v>8.36</v>
      </c>
    </row>
    <row r="95" spans="1:10" x14ac:dyDescent="0.35">
      <c r="A95">
        <v>7.92</v>
      </c>
    </row>
    <row r="96" spans="1:10" x14ac:dyDescent="0.35">
      <c r="A96">
        <v>7.76</v>
      </c>
    </row>
    <row r="98" spans="1:10" x14ac:dyDescent="0.35">
      <c r="A98" t="s">
        <v>338</v>
      </c>
      <c r="J98" t="e">
        <f>(IF('Apkure (karstais ūdens) un ēkas'!#REF!='Dati apkure'!B64,A99,IF('Apkure (karstais ūdens) un ēkas'!#REF!='Dati apkure'!B65,A100,IF('Apkure (karstais ūdens) un ēkas'!#REF!='Dati apkure'!B66,A101,IF('Apkure (karstais ūdens) un ēkas'!#REF!='Dati apkure'!B67,A102)))))</f>
        <v>#REF!</v>
      </c>
    </row>
    <row r="99" spans="1:10" x14ac:dyDescent="0.35">
      <c r="A99">
        <v>6.5990000000000002</v>
      </c>
    </row>
    <row r="100" spans="1:10" x14ac:dyDescent="0.35">
      <c r="A100">
        <v>6.27</v>
      </c>
    </row>
    <row r="101" spans="1:10" x14ac:dyDescent="0.35">
      <c r="A101">
        <v>5.94</v>
      </c>
    </row>
    <row r="102" spans="1:10" x14ac:dyDescent="0.35">
      <c r="A102">
        <v>5.82</v>
      </c>
    </row>
    <row r="104" spans="1:10" x14ac:dyDescent="0.35">
      <c r="A104" t="s">
        <v>337</v>
      </c>
      <c r="J104" t="e">
        <f>(IF('Apkure (karstais ūdens) un ēkas'!#REF!='Dati apkure'!B64,A105,IF('Apkure (karstais ūdens) un ēkas'!#REF!='Dati apkure'!B65,A106,IF('Apkure (karstais ūdens) un ēkas'!#REF!='Dati apkure'!B66,A107,IF('Apkure (karstais ūdens) un ēkas'!#REF!='Dati apkure'!B67,A108)))))</f>
        <v>#REF!</v>
      </c>
    </row>
    <row r="105" spans="1:10" x14ac:dyDescent="0.35">
      <c r="A105">
        <v>4.4000000000000004</v>
      </c>
    </row>
    <row r="106" spans="1:10" x14ac:dyDescent="0.35">
      <c r="A106">
        <v>4.18</v>
      </c>
    </row>
    <row r="107" spans="1:10" x14ac:dyDescent="0.35">
      <c r="A107">
        <v>3.96</v>
      </c>
    </row>
    <row r="108" spans="1:10" x14ac:dyDescent="0.35">
      <c r="A108">
        <v>3.88</v>
      </c>
    </row>
    <row r="110" spans="1:10" x14ac:dyDescent="0.35">
      <c r="A110" t="s">
        <v>100</v>
      </c>
      <c r="J110" t="e">
        <f>(IF('Apkure (karstais ūdens) un ēkas'!#REF!='Dati apkure'!B64,A111,IF('Apkure (karstais ūdens) un ēkas'!#REF!='Dati apkure'!B65,A112,IF('Apkure (karstais ūdens) un ēkas'!#REF!='Dati apkure'!B66,A113,IF('Apkure (karstais ūdens) un ēkas'!#REF!='Dati apkure'!B67,A114)))))</f>
        <v>#REF!</v>
      </c>
    </row>
    <row r="111" spans="1:10" x14ac:dyDescent="0.35">
      <c r="A111">
        <v>4.399</v>
      </c>
      <c r="B111" s="33" t="s">
        <v>86</v>
      </c>
    </row>
    <row r="112" spans="1:10" x14ac:dyDescent="0.35">
      <c r="A112">
        <v>4.18</v>
      </c>
    </row>
    <row r="113" spans="1:10" x14ac:dyDescent="0.35">
      <c r="A113">
        <v>3.96</v>
      </c>
    </row>
    <row r="114" spans="1:10" x14ac:dyDescent="0.35">
      <c r="A114">
        <v>3.88</v>
      </c>
    </row>
    <row r="115" spans="1:10" x14ac:dyDescent="0.35">
      <c r="A115">
        <v>7.6989999999999998</v>
      </c>
      <c r="B115" s="33" t="s">
        <v>85</v>
      </c>
      <c r="J115" t="e">
        <f>(IF('Apkure (karstais ūdens) un ēkas'!#REF!='Dati apkure'!B64,A115,IF('Apkure (karstais ūdens) un ēkas'!#REF!='Dati apkure'!B65,A116,IF('Apkure (karstais ūdens) un ēkas'!#REF!='Dati apkure'!B66,A117,IF('Apkure (karstais ūdens) un ēkas'!#REF!='Dati apkure'!B67,A118)))))</f>
        <v>#REF!</v>
      </c>
    </row>
    <row r="116" spans="1:10" x14ac:dyDescent="0.35">
      <c r="A116">
        <v>7.3150000000000004</v>
      </c>
    </row>
    <row r="117" spans="1:10" x14ac:dyDescent="0.35">
      <c r="A117">
        <v>6.93</v>
      </c>
    </row>
    <row r="118" spans="1:10" x14ac:dyDescent="0.35">
      <c r="A118">
        <v>6.79</v>
      </c>
    </row>
    <row r="119" spans="1:10" s="2" customFormat="1" x14ac:dyDescent="0.35"/>
    <row r="120" spans="1:10" s="2" customFormat="1" x14ac:dyDescent="0.35">
      <c r="A120" s="2" t="s">
        <v>101</v>
      </c>
      <c r="J120" s="2" t="e">
        <f>(IF('Apkure (karstais ūdens) un ēkas'!#REF!='Dati apkure'!B64,A121,IF('Apkure (karstais ūdens) un ēkas'!#REF!='Dati apkure'!B65,A122,IF('Apkure (karstais ūdens) un ēkas'!#REF!='Dati apkure'!B66,A123,IF('Apkure (karstais ūdens) un ēkas'!#REF!='Dati apkure'!B67,A124)))))</f>
        <v>#REF!</v>
      </c>
    </row>
    <row r="121" spans="1:10" s="2" customFormat="1" x14ac:dyDescent="0.35">
      <c r="A121" s="2">
        <v>3.3</v>
      </c>
    </row>
    <row r="122" spans="1:10" s="2" customFormat="1" x14ac:dyDescent="0.35">
      <c r="A122" s="2">
        <v>3.1349999999999998</v>
      </c>
    </row>
    <row r="123" spans="1:10" s="2" customFormat="1" x14ac:dyDescent="0.35">
      <c r="A123" s="2">
        <v>2.97</v>
      </c>
    </row>
    <row r="124" spans="1:10" x14ac:dyDescent="0.35">
      <c r="A124">
        <v>2.91</v>
      </c>
    </row>
    <row r="125" spans="1:10" x14ac:dyDescent="0.35">
      <c r="A125" t="s">
        <v>394</v>
      </c>
    </row>
    <row r="126" spans="1:10" x14ac:dyDescent="0.35">
      <c r="A126">
        <v>3.3</v>
      </c>
      <c r="B126" t="s">
        <v>403</v>
      </c>
      <c r="J126" t="e">
        <f>(IF('Apkure (karstais ūdens) un ēkas'!#REF!='Dati apkure'!B64,A126,IF('Apkure (karstais ūdens) un ēkas'!#REF!='Dati apkure'!B65,A127,IF('Apkure (karstais ūdens) un ēkas'!#REF!='Dati apkure'!B66,A128,IF('Apkure (karstais ūdens) un ēkas'!#REF!='Dati apkure'!B67,A129)))))</f>
        <v>#REF!</v>
      </c>
    </row>
    <row r="127" spans="1:10" x14ac:dyDescent="0.35">
      <c r="A127">
        <v>3.1349999999999998</v>
      </c>
    </row>
    <row r="128" spans="1:10" x14ac:dyDescent="0.35">
      <c r="A128">
        <v>2.97</v>
      </c>
    </row>
    <row r="129" spans="1:10" x14ac:dyDescent="0.35">
      <c r="A129">
        <v>2.91</v>
      </c>
    </row>
    <row r="130" spans="1:10" x14ac:dyDescent="0.35">
      <c r="A130">
        <v>3.3</v>
      </c>
      <c r="B130" t="s">
        <v>339</v>
      </c>
      <c r="J130" t="e">
        <f>(IF('Apkure (karstais ūdens) un ēkas'!#REF!='Dati apkure'!B64,A130,IF('Apkure (karstais ūdens) un ēkas'!#REF!='Dati apkure'!B65,A131,IF('Apkure (karstais ūdens) un ēkas'!#REF!='Dati apkure'!B66,A132,IF('Apkure (karstais ūdens) un ēkas'!#REF!='Dati apkure'!B67,A133)))))</f>
        <v>#REF!</v>
      </c>
    </row>
    <row r="131" spans="1:10" x14ac:dyDescent="0.35">
      <c r="A131">
        <v>3.1349999999999998</v>
      </c>
    </row>
    <row r="132" spans="1:10" x14ac:dyDescent="0.35">
      <c r="A132">
        <v>2.97</v>
      </c>
    </row>
    <row r="133" spans="1:10" x14ac:dyDescent="0.35">
      <c r="A133">
        <v>2.91</v>
      </c>
    </row>
    <row r="135" spans="1:10" x14ac:dyDescent="0.35">
      <c r="A135" t="s">
        <v>394</v>
      </c>
      <c r="J135" t="e">
        <f>(IF('Apkure (karstais ūdens) un ēkas'!#REF!='Dati apkure'!B64,A136,IF('Apkure (karstais ūdens) un ēkas'!#REF!='Dati apkure'!B65,A137,IF('Apkure (karstais ūdens) un ēkas'!#REF!='Dati apkure'!B66,A138,IF('Apkure (karstais ūdens) un ēkas'!#REF!='Dati apkure'!B67,A139)))))</f>
        <v>#REF!</v>
      </c>
    </row>
    <row r="136" spans="1:10" x14ac:dyDescent="0.35">
      <c r="A136" s="2">
        <v>3.3</v>
      </c>
      <c r="B136" s="2" t="s">
        <v>403</v>
      </c>
    </row>
    <row r="137" spans="1:10" x14ac:dyDescent="0.35">
      <c r="A137" s="2">
        <v>3.1349999999999998</v>
      </c>
    </row>
    <row r="138" spans="1:10" x14ac:dyDescent="0.35">
      <c r="A138" s="2">
        <v>2.97</v>
      </c>
    </row>
    <row r="139" spans="1:10" x14ac:dyDescent="0.35">
      <c r="A139" s="2">
        <v>2.91</v>
      </c>
    </row>
    <row r="141" spans="1:10" x14ac:dyDescent="0.35">
      <c r="A141" t="s">
        <v>102</v>
      </c>
      <c r="J141" t="e">
        <f>(IF('Apkure (karstais ūdens) un ēkas'!#REF!='Dati apkure'!B64,A142,IF('Apkure (karstais ūdens) un ēkas'!#REF!='Dati apkure'!B65,A143,IF('Apkure (karstais ūdens) un ēkas'!#REF!='Dati apkure'!B66,A144,IF('Apkure (karstais ūdens) un ēkas'!#REF!='Dati apkure'!B67,A145)))))</f>
        <v>#REF!</v>
      </c>
    </row>
    <row r="142" spans="1:10" x14ac:dyDescent="0.35">
      <c r="A142">
        <v>10.999000000000001</v>
      </c>
    </row>
    <row r="143" spans="1:10" x14ac:dyDescent="0.35">
      <c r="A143">
        <v>10.45</v>
      </c>
    </row>
    <row r="144" spans="1:10" x14ac:dyDescent="0.35">
      <c r="A144">
        <v>9.9</v>
      </c>
    </row>
    <row r="145" spans="1:10" x14ac:dyDescent="0.35">
      <c r="A145">
        <v>9.6999999999999993</v>
      </c>
    </row>
    <row r="147" spans="1:10" x14ac:dyDescent="0.35">
      <c r="A147" t="s">
        <v>103</v>
      </c>
    </row>
    <row r="148" spans="1:10" x14ac:dyDescent="0.35">
      <c r="A148">
        <v>6.5990000000000002</v>
      </c>
      <c r="J148" t="e">
        <f>(IF('Apkure (karstais ūdens) un ēkas'!#REF!='Dati apkure'!B64,A148,IF('Apkure (karstais ūdens) un ēkas'!#REF!='Dati apkure'!B65,A149,IF('Apkure (karstais ūdens) un ēkas'!#REF!='Dati apkure'!B66,A150,IF('Apkure (karstais ūdens) un ēkas'!#REF!='Dati apkure'!B67,A151)))))</f>
        <v>#REF!</v>
      </c>
    </row>
    <row r="149" spans="1:10" x14ac:dyDescent="0.35">
      <c r="A149">
        <v>6.27</v>
      </c>
    </row>
    <row r="150" spans="1:10" x14ac:dyDescent="0.35">
      <c r="A150">
        <v>5.94</v>
      </c>
    </row>
    <row r="151" spans="1:10" x14ac:dyDescent="0.35">
      <c r="A151">
        <v>5.82</v>
      </c>
    </row>
    <row r="153" spans="1:10" x14ac:dyDescent="0.35">
      <c r="A153" t="s">
        <v>91</v>
      </c>
      <c r="J153" s="2" t="e">
        <f>(IF('Apkure (karstais ūdens) un ēkas'!#REF!='Dati apkure'!B64,A154,IF('Apkure (karstais ūdens) un ēkas'!#REF!='Dati apkure'!B65,A155,IF('Apkure (karstais ūdens) un ēkas'!#REF!='Dati apkure'!B66,A156,IF('Apkure (karstais ūdens) un ēkas'!#REF!='Dati apkure'!B67,A157)))))</f>
        <v>#REF!</v>
      </c>
    </row>
    <row r="154" spans="1:10" x14ac:dyDescent="0.35">
      <c r="A154">
        <v>3.3</v>
      </c>
    </row>
    <row r="155" spans="1:10" x14ac:dyDescent="0.35">
      <c r="A155">
        <v>3.1349999999999998</v>
      </c>
    </row>
    <row r="156" spans="1:10" x14ac:dyDescent="0.35">
      <c r="A156">
        <v>2.97</v>
      </c>
    </row>
    <row r="157" spans="1:10" x14ac:dyDescent="0.35">
      <c r="A157">
        <v>2.91</v>
      </c>
    </row>
    <row r="159" spans="1:10" x14ac:dyDescent="0.35">
      <c r="A159" t="s">
        <v>333</v>
      </c>
      <c r="J159" t="e">
        <f>(IF('Apkure (karstais ūdens) un ēkas'!#REF!='Dati apkure'!B64,A160,IF('Apkure (karstais ūdens) un ēkas'!#REF!='Dati apkure'!B65,A161,IF('Apkure (karstais ūdens) un ēkas'!#REF!='Dati apkure'!B66,A162,IF('Apkure (karstais ūdens) un ēkas'!#REF!='Dati apkure'!B67,A163)))))</f>
        <v>#REF!</v>
      </c>
    </row>
    <row r="160" spans="1:10" x14ac:dyDescent="0.35">
      <c r="A160">
        <v>2.2000000000000002</v>
      </c>
    </row>
    <row r="161" spans="1:10" x14ac:dyDescent="0.35">
      <c r="A161">
        <v>2.09</v>
      </c>
    </row>
    <row r="162" spans="1:10" x14ac:dyDescent="0.35">
      <c r="A162">
        <v>1.98</v>
      </c>
    </row>
    <row r="163" spans="1:10" x14ac:dyDescent="0.35">
      <c r="A163">
        <v>1.94</v>
      </c>
    </row>
    <row r="165" spans="1:10" x14ac:dyDescent="0.35">
      <c r="A165" t="s">
        <v>395</v>
      </c>
      <c r="J165" t="e">
        <f>(IF('Apkure (karstais ūdens) un ēkas'!#REF!='Dati apkure'!B64,A166,IF('Apkure (karstais ūdens) un ēkas'!#REF!='Dati apkure'!B65,A167,IF('Apkure (karstais ūdens) un ēkas'!#REF!='Dati apkure'!B66,A168,IF('Apkure (karstais ūdens) un ēkas'!#REF!='Dati apkure'!B67,A169)))))</f>
        <v>#REF!</v>
      </c>
    </row>
    <row r="166" spans="1:10" x14ac:dyDescent="0.35">
      <c r="A166">
        <v>4.399</v>
      </c>
      <c r="B166" t="s">
        <v>86</v>
      </c>
    </row>
    <row r="167" spans="1:10" x14ac:dyDescent="0.35">
      <c r="A167">
        <v>4.18</v>
      </c>
    </row>
    <row r="168" spans="1:10" x14ac:dyDescent="0.35">
      <c r="A168">
        <v>3.96</v>
      </c>
    </row>
    <row r="169" spans="1:10" x14ac:dyDescent="0.35">
      <c r="A169">
        <v>3.88</v>
      </c>
    </row>
    <row r="170" spans="1:10" x14ac:dyDescent="0.35">
      <c r="A170">
        <v>7.6989999999999998</v>
      </c>
      <c r="B170" t="s">
        <v>85</v>
      </c>
      <c r="J170" t="e">
        <f>(IF('Apkure (karstais ūdens) un ēkas'!#REF!='Dati apkure'!B64,A170,IF('Apkure (karstais ūdens) un ēkas'!#REF!='Dati apkure'!B65,A171,IF('Apkure (karstais ūdens) un ēkas'!#REF!='Dati apkure'!B66,A172,IF('Apkure (karstais ūdens) un ēkas'!#REF!='Dati apkure'!B67,A173)))))</f>
        <v>#REF!</v>
      </c>
    </row>
    <row r="171" spans="1:10" x14ac:dyDescent="0.35">
      <c r="A171">
        <v>7.3150000000000004</v>
      </c>
    </row>
    <row r="172" spans="1:10" x14ac:dyDescent="0.35">
      <c r="A172">
        <v>6.93</v>
      </c>
    </row>
    <row r="173" spans="1:10" x14ac:dyDescent="0.35">
      <c r="A173">
        <v>6.79</v>
      </c>
    </row>
    <row r="175" spans="1:10" x14ac:dyDescent="0.35">
      <c r="A175" t="s">
        <v>92</v>
      </c>
      <c r="J175" t="e">
        <f>(IF('Apkure (karstais ūdens) un ēkas'!#REF!='Dati apkure'!B64,A176,IF('Apkure (karstais ūdens) un ēkas'!#REF!='Dati apkure'!B65,A177,IF('Apkure (karstais ūdens) un ēkas'!#REF!='Dati apkure'!B66,A178,IF('Apkure (karstais ūdens) un ēkas'!#REF!='Dati apkure'!B67,A179)))))</f>
        <v>#REF!</v>
      </c>
    </row>
    <row r="176" spans="1:10" x14ac:dyDescent="0.35">
      <c r="A176">
        <v>2.2000000000000002</v>
      </c>
    </row>
    <row r="177" spans="1:10" x14ac:dyDescent="0.35">
      <c r="A177">
        <v>2.09</v>
      </c>
    </row>
    <row r="178" spans="1:10" x14ac:dyDescent="0.35">
      <c r="A178">
        <v>1.98</v>
      </c>
    </row>
    <row r="179" spans="1:10" x14ac:dyDescent="0.35">
      <c r="A179">
        <v>1.94</v>
      </c>
    </row>
    <row r="181" spans="1:10" x14ac:dyDescent="0.35">
      <c r="A181" t="s">
        <v>94</v>
      </c>
      <c r="J181" t="e">
        <f>(IF('Apkure (karstais ūdens) un ēkas'!#REF!='Dati apkure'!B64,A182,IF('Apkure (karstais ūdens) un ēkas'!#REF!='Dati apkure'!B65,A183,IF('Apkure (karstais ūdens) un ēkas'!#REF!='Dati apkure'!B66,A184,IF('Apkure (karstais ūdens) un ēkas'!#REF!='Dati apkure'!B67,A185)))))</f>
        <v>#REF!</v>
      </c>
    </row>
    <row r="182" spans="1:10" x14ac:dyDescent="0.35">
      <c r="A182">
        <v>3.3</v>
      </c>
    </row>
    <row r="183" spans="1:10" x14ac:dyDescent="0.35">
      <c r="A183">
        <v>3.1349999999999998</v>
      </c>
    </row>
    <row r="184" spans="1:10" x14ac:dyDescent="0.35">
      <c r="A184">
        <v>2.97</v>
      </c>
    </row>
    <row r="185" spans="1:10" x14ac:dyDescent="0.35">
      <c r="A185">
        <v>2.91</v>
      </c>
    </row>
    <row r="187" spans="1:10" x14ac:dyDescent="0.35">
      <c r="A187" t="s">
        <v>93</v>
      </c>
      <c r="J187" t="e">
        <f>(IF('Apkure (karstais ūdens) un ēkas'!#REF!='Dati apkure'!B64,A188,IF('Apkure (karstais ūdens) un ēkas'!#REF!='Dati apkure'!B65,A189,IF('Apkure (karstais ūdens) un ēkas'!#REF!='Dati apkure'!B66,A190,IF('Apkure (karstais ūdens) un ēkas'!#REF!='Dati apkure'!B67,A191)))))</f>
        <v>#REF!</v>
      </c>
    </row>
    <row r="188" spans="1:10" x14ac:dyDescent="0.35">
      <c r="A188">
        <v>2.1997</v>
      </c>
    </row>
    <row r="189" spans="1:10" x14ac:dyDescent="0.35">
      <c r="A189">
        <v>2.09</v>
      </c>
    </row>
    <row r="190" spans="1:10" x14ac:dyDescent="0.35">
      <c r="A190">
        <v>1.98</v>
      </c>
    </row>
    <row r="191" spans="1:10" x14ac:dyDescent="0.35">
      <c r="A191">
        <v>1.94</v>
      </c>
    </row>
    <row r="193" spans="1:22" x14ac:dyDescent="0.35">
      <c r="A193" s="2" t="s">
        <v>200</v>
      </c>
      <c r="J193" s="3" t="s">
        <v>204</v>
      </c>
      <c r="K193" s="9"/>
      <c r="L193" s="9"/>
      <c r="M193" s="9"/>
      <c r="N193" s="9"/>
      <c r="O193" s="9"/>
      <c r="P193" s="9"/>
      <c r="Q193" s="9"/>
      <c r="R193" s="9"/>
      <c r="S193" s="9"/>
      <c r="T193" s="9"/>
      <c r="U193" s="9"/>
      <c r="V193" s="9"/>
    </row>
    <row r="194" spans="1:22" x14ac:dyDescent="0.35">
      <c r="B194" t="s">
        <v>211</v>
      </c>
      <c r="C194" t="s">
        <v>245</v>
      </c>
      <c r="J194" s="9" t="s">
        <v>206</v>
      </c>
      <c r="K194" s="9"/>
      <c r="L194" s="9"/>
      <c r="M194" s="9"/>
      <c r="N194" s="9"/>
      <c r="O194" s="9">
        <v>0.25</v>
      </c>
      <c r="P194" s="9" t="s">
        <v>155</v>
      </c>
      <c r="Q194" s="9"/>
      <c r="R194" s="9" t="s">
        <v>159</v>
      </c>
      <c r="S194" s="9"/>
      <c r="T194" s="9"/>
      <c r="U194" s="9"/>
      <c r="V194" s="9"/>
    </row>
    <row r="195" spans="1:22" x14ac:dyDescent="0.35">
      <c r="B195" t="s">
        <v>213</v>
      </c>
      <c r="C195" t="s">
        <v>244</v>
      </c>
      <c r="J195" s="9" t="s">
        <v>207</v>
      </c>
      <c r="K195" s="9"/>
      <c r="L195" s="9"/>
      <c r="M195" s="9"/>
      <c r="N195" s="9"/>
      <c r="O195" s="9">
        <v>1</v>
      </c>
      <c r="P195" s="9" t="s">
        <v>196</v>
      </c>
      <c r="Q195" s="9"/>
      <c r="R195" s="9" t="s">
        <v>201</v>
      </c>
      <c r="S195" s="9"/>
      <c r="T195" s="9">
        <v>2</v>
      </c>
      <c r="U195" s="9" t="s">
        <v>156</v>
      </c>
      <c r="V195" s="9"/>
    </row>
    <row r="196" spans="1:22" x14ac:dyDescent="0.35">
      <c r="B196" t="s">
        <v>214</v>
      </c>
      <c r="J196" s="9" t="s">
        <v>189</v>
      </c>
      <c r="K196" s="2"/>
      <c r="L196" s="2"/>
      <c r="M196" s="2"/>
      <c r="N196" s="2"/>
      <c r="O196" s="17">
        <v>0</v>
      </c>
      <c r="P196" s="9" t="s">
        <v>155</v>
      </c>
      <c r="Q196" s="2"/>
      <c r="R196" s="9" t="s">
        <v>202</v>
      </c>
      <c r="S196" s="9"/>
      <c r="T196" s="9">
        <v>0.13</v>
      </c>
      <c r="U196" s="9" t="s">
        <v>156</v>
      </c>
      <c r="V196" s="9"/>
    </row>
    <row r="197" spans="1:22" x14ac:dyDescent="0.35">
      <c r="B197" t="s">
        <v>215</v>
      </c>
      <c r="J197" s="9" t="s">
        <v>199</v>
      </c>
      <c r="K197" s="9"/>
      <c r="L197" s="9"/>
      <c r="M197" s="9"/>
      <c r="N197" s="9"/>
      <c r="O197" s="17">
        <v>4.1000000000000002E-2</v>
      </c>
      <c r="P197" s="9" t="s">
        <v>156</v>
      </c>
      <c r="Q197" s="2"/>
      <c r="R197" s="9" t="s">
        <v>203</v>
      </c>
      <c r="S197" s="9"/>
      <c r="T197" s="9">
        <v>0.81</v>
      </c>
      <c r="U197" s="9" t="s">
        <v>156</v>
      </c>
      <c r="V197" s="9"/>
    </row>
    <row r="198" spans="1:22" x14ac:dyDescent="0.35">
      <c r="B198" t="s">
        <v>216</v>
      </c>
      <c r="J198" s="9" t="s">
        <v>208</v>
      </c>
      <c r="K198" s="9"/>
      <c r="L198" s="9"/>
      <c r="M198" s="9"/>
      <c r="N198" s="9"/>
      <c r="O198" s="17" t="e">
        <f>(IF('Apkure (karstais ūdens) un ēkas'!#REF!='Dati apkure'!C194,T195,IF('Apkure (karstais ūdens) un ēkas'!#REF!='Dati apkure'!C195,T196,)))</f>
        <v>#REF!</v>
      </c>
      <c r="P198" s="9" t="s">
        <v>156</v>
      </c>
      <c r="Q198" s="9"/>
      <c r="R198" s="9" t="s">
        <v>398</v>
      </c>
      <c r="S198" s="2"/>
      <c r="T198" s="9">
        <v>0.87</v>
      </c>
      <c r="U198" s="9" t="s">
        <v>156</v>
      </c>
      <c r="V198" s="2"/>
    </row>
    <row r="199" spans="1:22" x14ac:dyDescent="0.35">
      <c r="B199" t="s">
        <v>217</v>
      </c>
      <c r="J199" s="9" t="s">
        <v>193</v>
      </c>
      <c r="K199" s="9"/>
      <c r="L199" s="9"/>
      <c r="M199" s="9"/>
      <c r="N199" s="9"/>
      <c r="O199" s="9" t="e">
        <f>1/(0.13+0.04+O194/O198+O196/O197)</f>
        <v>#REF!</v>
      </c>
      <c r="P199" s="9" t="s">
        <v>194</v>
      </c>
      <c r="Q199" s="9"/>
      <c r="R199" s="9"/>
      <c r="S199" s="9"/>
      <c r="T199" s="9"/>
      <c r="U199" s="9"/>
      <c r="V199" s="9"/>
    </row>
    <row r="200" spans="1:22" x14ac:dyDescent="0.35">
      <c r="J200" s="9" t="s">
        <v>197</v>
      </c>
      <c r="K200" s="2"/>
      <c r="L200" s="2"/>
      <c r="M200" s="2"/>
      <c r="N200" s="2"/>
      <c r="O200" s="2" t="e">
        <f>O199*O195</f>
        <v>#REF!</v>
      </c>
      <c r="P200" s="9" t="s">
        <v>198</v>
      </c>
      <c r="Q200" s="2"/>
      <c r="R200" s="2"/>
      <c r="S200" s="2"/>
      <c r="T200" s="2"/>
      <c r="U200" s="2"/>
      <c r="V200" s="2"/>
    </row>
    <row r="201" spans="1:22" x14ac:dyDescent="0.35">
      <c r="J201" s="9" t="s">
        <v>163</v>
      </c>
      <c r="K201" s="9"/>
      <c r="L201" s="9"/>
      <c r="M201" s="9"/>
      <c r="N201" s="9"/>
      <c r="O201" s="9" t="e">
        <f>O200*203*24/1000*U210</f>
        <v>#REF!</v>
      </c>
      <c r="P201" s="9" t="s">
        <v>209</v>
      </c>
      <c r="Q201" s="9"/>
      <c r="R201" s="2"/>
      <c r="S201" s="2"/>
      <c r="T201" s="2"/>
      <c r="U201" s="2"/>
      <c r="V201" s="2"/>
    </row>
    <row r="202" spans="1:22" x14ac:dyDescent="0.35">
      <c r="J202" s="3" t="s">
        <v>205</v>
      </c>
      <c r="K202" s="9"/>
      <c r="L202" s="9"/>
      <c r="M202" s="9"/>
      <c r="N202" s="9"/>
      <c r="O202" s="9"/>
      <c r="P202" s="9"/>
      <c r="Q202" s="9"/>
      <c r="R202" s="9"/>
      <c r="S202" s="9"/>
      <c r="T202" s="9"/>
      <c r="U202" s="9"/>
      <c r="V202" s="9"/>
    </row>
    <row r="203" spans="1:22" x14ac:dyDescent="0.35">
      <c r="J203" s="9" t="s">
        <v>206</v>
      </c>
      <c r="K203" s="9"/>
      <c r="L203" s="9"/>
      <c r="M203" s="9"/>
      <c r="N203" s="9"/>
      <c r="O203" s="9">
        <v>0.25</v>
      </c>
      <c r="P203" s="9" t="s">
        <v>155</v>
      </c>
      <c r="Q203" s="9"/>
      <c r="R203" s="9" t="s">
        <v>159</v>
      </c>
      <c r="S203" s="9"/>
      <c r="T203" s="9"/>
      <c r="U203" s="9"/>
      <c r="V203" s="9"/>
    </row>
    <row r="204" spans="1:22" x14ac:dyDescent="0.35">
      <c r="J204" s="9" t="s">
        <v>189</v>
      </c>
      <c r="K204" s="9"/>
      <c r="L204" s="9"/>
      <c r="M204" s="9"/>
      <c r="N204" s="9"/>
      <c r="O204" s="17" t="e">
        <f>(IF('Apkure (karstais ūdens) un ēkas'!#REF!='Dati apkure'!B194,0.2,IF('Apkure (karstais ūdens) un ēkas'!#REF!='Dati apkure'!B195,0.2,IF('Apkure (karstais ūdens) un ēkas'!#REF!='Dati apkure'!B196,0.25,IF('Apkure (karstais ūdens) un ēkas'!#REF!='Dati apkure'!B197,0.25,IF('Apkure (karstais ūdens) un ēkas'!#REF!='Dati apkure'!B198,0.3,IF('Apkure (karstais ūdens) un ēkas'!#REF!='Dati apkure'!B199,0.3)))))))</f>
        <v>#REF!</v>
      </c>
      <c r="P204" s="9" t="s">
        <v>155</v>
      </c>
      <c r="Q204" s="9"/>
      <c r="R204" s="9" t="s">
        <v>278</v>
      </c>
      <c r="S204" s="9"/>
      <c r="T204" s="9">
        <v>4.1000000000000002E-2</v>
      </c>
      <c r="U204" s="9" t="s">
        <v>156</v>
      </c>
      <c r="V204" s="9"/>
    </row>
    <row r="205" spans="1:22" x14ac:dyDescent="0.35">
      <c r="J205" s="9" t="s">
        <v>199</v>
      </c>
      <c r="K205" s="9"/>
      <c r="L205" s="9"/>
      <c r="M205" s="9"/>
      <c r="N205" s="9"/>
      <c r="O205" s="17" t="e">
        <f>(IF('Apkure (karstais ūdens) un ēkas'!#REF!='Dati apkure'!B194,T204,IF('Apkure (karstais ūdens) un ēkas'!#REF!='Dati apkure'!B195,T205,IF('Apkure (karstais ūdens) un ēkas'!#REF!='Dati apkure'!B196,T204,IF('Apkure (karstais ūdens) un ēkas'!#REF!='Dati apkure'!B197,T205,IF('Apkure (karstais ūdens) un ēkas'!#REF!='Dati apkure'!B198,T204,IF('Apkure (karstais ūdens) un ēkas'!#REF!='Dati apkure'!B199,T205)))))))</f>
        <v>#REF!</v>
      </c>
      <c r="P205" s="9" t="s">
        <v>156</v>
      </c>
      <c r="Q205" s="9"/>
      <c r="R205" s="2" t="s">
        <v>279</v>
      </c>
      <c r="S205" s="2"/>
      <c r="T205" s="2">
        <v>3.5999999999999997E-2</v>
      </c>
      <c r="U205" s="9" t="s">
        <v>156</v>
      </c>
      <c r="V205" s="2"/>
    </row>
    <row r="206" spans="1:22" x14ac:dyDescent="0.35">
      <c r="J206" s="9" t="s">
        <v>208</v>
      </c>
      <c r="K206" s="9"/>
      <c r="L206" s="9"/>
      <c r="M206" s="9"/>
      <c r="N206" s="9"/>
      <c r="O206" s="17" t="e">
        <f>O198</f>
        <v>#REF!</v>
      </c>
      <c r="P206" s="9" t="s">
        <v>156</v>
      </c>
      <c r="Q206" s="9"/>
      <c r="R206" s="9" t="s">
        <v>162</v>
      </c>
      <c r="S206" s="9"/>
      <c r="T206" s="9">
        <v>3.5999999999999997E-2</v>
      </c>
      <c r="U206" s="9" t="s">
        <v>156</v>
      </c>
      <c r="V206" s="9"/>
    </row>
    <row r="207" spans="1:22" x14ac:dyDescent="0.35">
      <c r="J207" s="9" t="s">
        <v>193</v>
      </c>
      <c r="K207" s="9"/>
      <c r="L207" s="9"/>
      <c r="M207" s="9"/>
      <c r="N207" s="9"/>
      <c r="O207" s="9" t="e">
        <f>1/(0.13+0.04+O203/O206+O204/O205)</f>
        <v>#REF!</v>
      </c>
      <c r="P207" s="9" t="s">
        <v>194</v>
      </c>
      <c r="Q207" s="9"/>
      <c r="R207" s="9" t="s">
        <v>187</v>
      </c>
      <c r="S207" s="9"/>
      <c r="T207" s="9">
        <v>2.7E-2</v>
      </c>
      <c r="U207" s="9" t="s">
        <v>156</v>
      </c>
      <c r="V207" s="9"/>
    </row>
    <row r="208" spans="1:22" x14ac:dyDescent="0.35">
      <c r="J208" s="9" t="s">
        <v>197</v>
      </c>
      <c r="K208" s="2"/>
      <c r="L208" s="2"/>
      <c r="M208" s="2"/>
      <c r="N208" s="2"/>
      <c r="O208" s="2" t="e">
        <f>O207*O195</f>
        <v>#REF!</v>
      </c>
      <c r="P208" s="9" t="s">
        <v>198</v>
      </c>
      <c r="Q208" s="2"/>
      <c r="R208" s="9" t="s">
        <v>170</v>
      </c>
      <c r="S208" s="9"/>
      <c r="T208" s="9"/>
      <c r="U208" s="9">
        <v>5</v>
      </c>
      <c r="V208" s="9" t="s">
        <v>143</v>
      </c>
    </row>
    <row r="209" spans="1:22" x14ac:dyDescent="0.35">
      <c r="J209" s="9" t="s">
        <v>163</v>
      </c>
      <c r="K209" s="9"/>
      <c r="L209" s="9"/>
      <c r="M209" s="9"/>
      <c r="N209" s="9"/>
      <c r="O209" s="9" t="e">
        <f>O208*203*24/1000*U210</f>
        <v>#REF!</v>
      </c>
      <c r="P209" s="9" t="s">
        <v>209</v>
      </c>
      <c r="Q209" s="9"/>
      <c r="R209" s="9" t="s">
        <v>286</v>
      </c>
      <c r="S209" s="9"/>
      <c r="T209" s="9"/>
      <c r="U209" s="9">
        <v>0</v>
      </c>
      <c r="V209" s="9" t="s">
        <v>143</v>
      </c>
    </row>
    <row r="210" spans="1:22" x14ac:dyDescent="0.35">
      <c r="J210" s="3" t="s">
        <v>168</v>
      </c>
      <c r="K210" s="9"/>
      <c r="L210" s="9"/>
      <c r="M210" s="9"/>
      <c r="N210" s="9"/>
      <c r="O210" s="18" t="e">
        <f>O201-O209</f>
        <v>#REF!</v>
      </c>
      <c r="P210" s="9" t="s">
        <v>209</v>
      </c>
      <c r="Q210" s="9"/>
      <c r="R210" s="9" t="s">
        <v>171</v>
      </c>
      <c r="S210" s="9"/>
      <c r="T210" s="9"/>
      <c r="U210" s="9">
        <f>U208-U209</f>
        <v>5</v>
      </c>
      <c r="V210" s="9" t="s">
        <v>143</v>
      </c>
    </row>
    <row r="211" spans="1:22" x14ac:dyDescent="0.35">
      <c r="J211" s="3"/>
      <c r="K211" s="9"/>
      <c r="L211" s="9"/>
      <c r="M211" s="9"/>
      <c r="N211" s="9"/>
      <c r="O211" s="11"/>
      <c r="P211" s="9"/>
      <c r="Q211" s="9"/>
      <c r="R211" s="2"/>
      <c r="S211" s="2"/>
      <c r="T211" s="2"/>
      <c r="U211" s="2"/>
      <c r="V211" s="2"/>
    </row>
    <row r="212" spans="1:22" x14ac:dyDescent="0.35">
      <c r="A212" s="2" t="s">
        <v>210</v>
      </c>
    </row>
    <row r="213" spans="1:22" x14ac:dyDescent="0.35">
      <c r="B213" t="s">
        <v>212</v>
      </c>
      <c r="J213" s="3" t="s">
        <v>204</v>
      </c>
      <c r="K213" s="9"/>
      <c r="L213" s="9"/>
      <c r="M213" s="9"/>
      <c r="N213" s="9"/>
      <c r="O213" s="9"/>
      <c r="P213" s="9"/>
      <c r="Q213" s="9"/>
      <c r="R213" s="9"/>
      <c r="S213" s="9"/>
      <c r="T213" s="9"/>
      <c r="U213" s="9"/>
      <c r="V213" s="9"/>
    </row>
    <row r="214" spans="1:22" x14ac:dyDescent="0.35">
      <c r="B214" t="s">
        <v>218</v>
      </c>
      <c r="J214" s="9" t="s">
        <v>206</v>
      </c>
      <c r="K214" s="9"/>
      <c r="L214" s="9"/>
      <c r="M214" s="9"/>
      <c r="N214" s="9"/>
      <c r="O214" s="9">
        <v>0.25</v>
      </c>
      <c r="P214" s="9" t="s">
        <v>155</v>
      </c>
      <c r="Q214" s="9"/>
      <c r="R214" s="9" t="s">
        <v>159</v>
      </c>
      <c r="S214" s="9"/>
      <c r="T214" s="9"/>
      <c r="U214" s="9"/>
      <c r="V214" s="9"/>
    </row>
    <row r="215" spans="1:22" x14ac:dyDescent="0.35">
      <c r="B215" t="s">
        <v>219</v>
      </c>
      <c r="J215" s="9" t="s">
        <v>207</v>
      </c>
      <c r="K215" s="9"/>
      <c r="L215" s="9"/>
      <c r="M215" s="9"/>
      <c r="N215" s="9"/>
      <c r="O215" s="9">
        <v>1</v>
      </c>
      <c r="P215" s="9" t="s">
        <v>196</v>
      </c>
      <c r="Q215" s="9"/>
      <c r="R215" s="9" t="s">
        <v>201</v>
      </c>
      <c r="S215" s="9"/>
      <c r="T215" s="9">
        <v>2</v>
      </c>
      <c r="U215" s="9" t="s">
        <v>156</v>
      </c>
      <c r="V215" s="9"/>
    </row>
    <row r="216" spans="1:22" x14ac:dyDescent="0.35">
      <c r="J216" s="9" t="s">
        <v>189</v>
      </c>
      <c r="K216" s="2"/>
      <c r="L216" s="2"/>
      <c r="M216" s="2"/>
      <c r="N216" s="2"/>
      <c r="O216" s="17">
        <v>0</v>
      </c>
      <c r="P216" s="9" t="s">
        <v>155</v>
      </c>
      <c r="Q216" s="2"/>
      <c r="R216" s="9" t="s">
        <v>202</v>
      </c>
      <c r="S216" s="9"/>
      <c r="T216" s="9">
        <v>0.13</v>
      </c>
      <c r="U216" s="9" t="s">
        <v>156</v>
      </c>
      <c r="V216" s="9"/>
    </row>
    <row r="217" spans="1:22" x14ac:dyDescent="0.35">
      <c r="J217" s="9" t="s">
        <v>199</v>
      </c>
      <c r="K217" s="9"/>
      <c r="L217" s="9"/>
      <c r="M217" s="9"/>
      <c r="N217" s="9"/>
      <c r="O217" s="17">
        <v>4.1000000000000002E-2</v>
      </c>
      <c r="P217" s="9" t="s">
        <v>156</v>
      </c>
      <c r="Q217" s="2"/>
      <c r="R217" s="9" t="s">
        <v>203</v>
      </c>
      <c r="S217" s="9"/>
      <c r="T217" s="9">
        <v>0.81</v>
      </c>
      <c r="U217" s="9" t="s">
        <v>156</v>
      </c>
      <c r="V217" s="9"/>
    </row>
    <row r="218" spans="1:22" x14ac:dyDescent="0.35">
      <c r="J218" s="9" t="s">
        <v>208</v>
      </c>
      <c r="K218" s="9"/>
      <c r="L218" s="9"/>
      <c r="M218" s="9"/>
      <c r="N218" s="9"/>
      <c r="O218" s="17">
        <f>T215</f>
        <v>2</v>
      </c>
      <c r="P218" s="9" t="s">
        <v>156</v>
      </c>
      <c r="Q218" s="9"/>
      <c r="R218" s="9" t="s">
        <v>398</v>
      </c>
      <c r="S218" s="2"/>
      <c r="T218" s="9">
        <v>0.87</v>
      </c>
      <c r="U218" s="9" t="s">
        <v>156</v>
      </c>
      <c r="V218" s="2"/>
    </row>
    <row r="219" spans="1:22" x14ac:dyDescent="0.35">
      <c r="J219" s="9" t="s">
        <v>193</v>
      </c>
      <c r="K219" s="9"/>
      <c r="L219" s="9"/>
      <c r="M219" s="9"/>
      <c r="N219" s="9"/>
      <c r="O219" s="9">
        <f>1/(0.13+0.04+O214/O218+O216/O217)</f>
        <v>3.3898305084745757</v>
      </c>
      <c r="P219" s="9" t="s">
        <v>194</v>
      </c>
      <c r="Q219" s="9"/>
      <c r="R219" s="9"/>
      <c r="S219" s="9"/>
      <c r="T219" s="9"/>
      <c r="U219" s="9"/>
      <c r="V219" s="9"/>
    </row>
    <row r="220" spans="1:22" x14ac:dyDescent="0.35">
      <c r="J220" s="9" t="s">
        <v>197</v>
      </c>
      <c r="K220" s="2"/>
      <c r="L220" s="2"/>
      <c r="M220" s="2"/>
      <c r="N220" s="2"/>
      <c r="O220" s="2">
        <f>O219*O215</f>
        <v>3.3898305084745757</v>
      </c>
      <c r="P220" s="9" t="s">
        <v>198</v>
      </c>
      <c r="Q220" s="2"/>
      <c r="R220" s="2"/>
      <c r="S220" s="2"/>
      <c r="T220" s="2"/>
      <c r="U220" s="2"/>
      <c r="V220" s="2"/>
    </row>
    <row r="221" spans="1:22" x14ac:dyDescent="0.35">
      <c r="J221" s="9" t="s">
        <v>163</v>
      </c>
      <c r="K221" s="9"/>
      <c r="L221" s="9"/>
      <c r="M221" s="9"/>
      <c r="N221" s="9"/>
      <c r="O221" s="9">
        <f>O220*203*24/1000*U230</f>
        <v>82.576271186440664</v>
      </c>
      <c r="P221" s="9" t="s">
        <v>209</v>
      </c>
      <c r="Q221" s="9"/>
      <c r="R221" s="2"/>
      <c r="S221" s="2"/>
      <c r="T221" s="2"/>
      <c r="U221" s="2"/>
      <c r="V221" s="2"/>
    </row>
    <row r="222" spans="1:22" x14ac:dyDescent="0.35">
      <c r="J222" s="3" t="s">
        <v>205</v>
      </c>
      <c r="K222" s="9"/>
      <c r="L222" s="9"/>
      <c r="M222" s="9"/>
      <c r="N222" s="9"/>
      <c r="O222" s="9"/>
      <c r="P222" s="9"/>
      <c r="Q222" s="9"/>
      <c r="R222" s="9"/>
      <c r="S222" s="9"/>
      <c r="T222" s="9"/>
      <c r="U222" s="9"/>
      <c r="V222" s="9"/>
    </row>
    <row r="223" spans="1:22" x14ac:dyDescent="0.35">
      <c r="J223" s="9" t="s">
        <v>206</v>
      </c>
      <c r="K223" s="9"/>
      <c r="L223" s="9"/>
      <c r="M223" s="9"/>
      <c r="N223" s="9"/>
      <c r="O223" s="9">
        <v>0.25</v>
      </c>
      <c r="P223" s="9" t="s">
        <v>155</v>
      </c>
      <c r="Q223" s="9"/>
      <c r="R223" s="9" t="s">
        <v>159</v>
      </c>
      <c r="S223" s="9"/>
      <c r="T223" s="9"/>
      <c r="U223" s="9"/>
      <c r="V223" s="9"/>
    </row>
    <row r="224" spans="1:22" x14ac:dyDescent="0.35">
      <c r="J224" s="9" t="s">
        <v>189</v>
      </c>
      <c r="K224" s="9"/>
      <c r="L224" s="9"/>
      <c r="M224" s="9"/>
      <c r="N224" s="9"/>
      <c r="O224" s="17" t="e">
        <f>(IF('Apkure (karstais ūdens) un ēkas'!#REF!='Dati apkure'!B213,0.1,IF('Apkure (karstais ūdens) un ēkas'!#REF!='Dati apkure'!B214,0.12,IF('Apkure (karstais ūdens) un ēkas'!#REF!='Dati apkure'!B215,0.15,))))</f>
        <v>#REF!</v>
      </c>
      <c r="P224" s="9" t="s">
        <v>155</v>
      </c>
      <c r="Q224" s="9"/>
      <c r="R224" s="9" t="s">
        <v>278</v>
      </c>
      <c r="S224" s="9"/>
      <c r="T224" s="9">
        <v>4.1000000000000002E-2</v>
      </c>
      <c r="U224" s="9" t="s">
        <v>156</v>
      </c>
      <c r="V224" s="9"/>
    </row>
    <row r="225" spans="1:22" x14ac:dyDescent="0.35">
      <c r="J225" s="9" t="s">
        <v>199</v>
      </c>
      <c r="K225" s="9"/>
      <c r="L225" s="9"/>
      <c r="M225" s="9"/>
      <c r="N225" s="9"/>
      <c r="O225" s="17" t="e">
        <f>(IF('Apkure (karstais ūdens) un ēkas'!#REF!='Dati apkure'!B213,T226,IF('Apkure (karstais ūdens) un ēkas'!#REF!='Dati apkure'!B214,T226,IF('Apkure (karstais ūdens) un ēkas'!#REF!='Dati apkure'!B215,T226))))</f>
        <v>#REF!</v>
      </c>
      <c r="P225" s="9" t="s">
        <v>156</v>
      </c>
      <c r="Q225" s="9"/>
      <c r="R225" s="2" t="s">
        <v>279</v>
      </c>
      <c r="S225" s="2"/>
      <c r="T225" s="2">
        <v>3.5999999999999997E-2</v>
      </c>
      <c r="U225" s="9" t="s">
        <v>156</v>
      </c>
      <c r="V225" s="2"/>
    </row>
    <row r="226" spans="1:22" x14ac:dyDescent="0.35">
      <c r="J226" s="9" t="s">
        <v>208</v>
      </c>
      <c r="K226" s="9"/>
      <c r="L226" s="9"/>
      <c r="M226" s="9"/>
      <c r="N226" s="9"/>
      <c r="O226" s="17">
        <f>O218</f>
        <v>2</v>
      </c>
      <c r="P226" s="9" t="s">
        <v>156</v>
      </c>
      <c r="Q226" s="9"/>
      <c r="R226" s="9" t="s">
        <v>162</v>
      </c>
      <c r="S226" s="9"/>
      <c r="T226" s="9">
        <v>3.5999999999999997E-2</v>
      </c>
      <c r="U226" s="9" t="s">
        <v>156</v>
      </c>
      <c r="V226" s="9"/>
    </row>
    <row r="227" spans="1:22" x14ac:dyDescent="0.35">
      <c r="J227" s="9" t="s">
        <v>193</v>
      </c>
      <c r="K227" s="9"/>
      <c r="L227" s="9"/>
      <c r="M227" s="9"/>
      <c r="N227" s="9"/>
      <c r="O227" s="9" t="e">
        <f>1/(0.13+0.04+O223/O226+O224/O225)</f>
        <v>#REF!</v>
      </c>
      <c r="P227" s="9" t="s">
        <v>194</v>
      </c>
      <c r="Q227" s="9"/>
      <c r="R227" s="9" t="s">
        <v>187</v>
      </c>
      <c r="S227" s="9"/>
      <c r="T227" s="9">
        <v>2.7E-2</v>
      </c>
      <c r="U227" s="9" t="s">
        <v>156</v>
      </c>
      <c r="V227" s="9"/>
    </row>
    <row r="228" spans="1:22" x14ac:dyDescent="0.35">
      <c r="J228" s="9" t="s">
        <v>197</v>
      </c>
      <c r="K228" s="2"/>
      <c r="L228" s="2"/>
      <c r="M228" s="2"/>
      <c r="N228" s="2"/>
      <c r="O228" s="2" t="e">
        <f>O227*O215</f>
        <v>#REF!</v>
      </c>
      <c r="P228" s="9" t="s">
        <v>198</v>
      </c>
      <c r="Q228" s="2"/>
      <c r="R228" s="9" t="s">
        <v>170</v>
      </c>
      <c r="S228" s="9"/>
      <c r="T228" s="9"/>
      <c r="U228" s="9">
        <v>5</v>
      </c>
      <c r="V228" s="9" t="s">
        <v>143</v>
      </c>
    </row>
    <row r="229" spans="1:22" x14ac:dyDescent="0.35">
      <c r="J229" s="9" t="s">
        <v>163</v>
      </c>
      <c r="K229" s="9"/>
      <c r="L229" s="9"/>
      <c r="M229" s="9"/>
      <c r="N229" s="9"/>
      <c r="O229" s="9" t="e">
        <f>O228*203*24/1000*U230</f>
        <v>#REF!</v>
      </c>
      <c r="P229" s="9" t="s">
        <v>209</v>
      </c>
      <c r="Q229" s="9"/>
      <c r="R229" s="9" t="s">
        <v>286</v>
      </c>
      <c r="S229" s="9"/>
      <c r="T229" s="9"/>
      <c r="U229" s="9">
        <v>0</v>
      </c>
      <c r="V229" s="9" t="s">
        <v>143</v>
      </c>
    </row>
    <row r="230" spans="1:22" x14ac:dyDescent="0.35">
      <c r="J230" s="3" t="s">
        <v>168</v>
      </c>
      <c r="K230" s="9"/>
      <c r="L230" s="9"/>
      <c r="M230" s="9"/>
      <c r="N230" s="9"/>
      <c r="O230" s="18" t="e">
        <f>O221-O229</f>
        <v>#REF!</v>
      </c>
      <c r="P230" s="9" t="s">
        <v>209</v>
      </c>
      <c r="Q230" s="9"/>
      <c r="R230" s="9" t="s">
        <v>171</v>
      </c>
      <c r="S230" s="9"/>
      <c r="T230" s="9"/>
      <c r="U230" s="9">
        <f>U228-U229</f>
        <v>5</v>
      </c>
      <c r="V230" s="9" t="s">
        <v>143</v>
      </c>
    </row>
    <row r="231" spans="1:22" x14ac:dyDescent="0.35">
      <c r="J231" s="3"/>
      <c r="K231" s="9"/>
      <c r="L231" s="9"/>
      <c r="M231" s="9"/>
      <c r="N231" s="9"/>
      <c r="O231" s="11"/>
      <c r="P231" s="9"/>
      <c r="Q231" s="9"/>
      <c r="R231" s="2"/>
      <c r="S231" s="2"/>
      <c r="T231" s="2"/>
      <c r="U231" s="2"/>
      <c r="V231" s="2"/>
    </row>
    <row r="232" spans="1:22" x14ac:dyDescent="0.35">
      <c r="A232" s="2" t="s">
        <v>240</v>
      </c>
      <c r="J232" s="3" t="s">
        <v>204</v>
      </c>
      <c r="K232" s="9"/>
      <c r="L232" s="9"/>
      <c r="M232" s="9"/>
      <c r="N232" s="9"/>
      <c r="O232" s="9"/>
      <c r="P232" s="9"/>
      <c r="Q232" s="9"/>
      <c r="R232" s="9"/>
      <c r="S232" s="9"/>
      <c r="T232" s="9"/>
      <c r="U232" s="9"/>
      <c r="V232" s="9"/>
    </row>
    <row r="233" spans="1:22" x14ac:dyDescent="0.35">
      <c r="B233" t="s">
        <v>229</v>
      </c>
      <c r="J233" s="9" t="s">
        <v>206</v>
      </c>
      <c r="K233" s="9"/>
      <c r="L233" s="9"/>
      <c r="M233" s="9"/>
      <c r="N233" s="9"/>
      <c r="O233" s="9">
        <v>0.25</v>
      </c>
      <c r="P233" s="9" t="s">
        <v>155</v>
      </c>
      <c r="Q233" s="9"/>
      <c r="R233" s="9" t="s">
        <v>159</v>
      </c>
      <c r="S233" s="9"/>
      <c r="T233" s="9"/>
      <c r="U233" s="9"/>
      <c r="V233" s="9"/>
    </row>
    <row r="234" spans="1:22" x14ac:dyDescent="0.35">
      <c r="B234" t="s">
        <v>230</v>
      </c>
      <c r="J234" s="9" t="s">
        <v>207</v>
      </c>
      <c r="K234" s="9"/>
      <c r="L234" s="9"/>
      <c r="M234" s="9"/>
      <c r="N234" s="9"/>
      <c r="O234" s="9">
        <v>1</v>
      </c>
      <c r="P234" s="9" t="s">
        <v>196</v>
      </c>
      <c r="Q234" s="9"/>
      <c r="R234" s="9" t="s">
        <v>201</v>
      </c>
      <c r="S234" s="9"/>
      <c r="T234" s="9">
        <v>2</v>
      </c>
      <c r="U234" s="9" t="s">
        <v>156</v>
      </c>
      <c r="V234" s="9"/>
    </row>
    <row r="235" spans="1:22" x14ac:dyDescent="0.35">
      <c r="J235" s="9" t="s">
        <v>189</v>
      </c>
      <c r="K235" s="2"/>
      <c r="L235" s="2"/>
      <c r="M235" s="2"/>
      <c r="N235" s="2"/>
      <c r="O235" s="17">
        <v>0</v>
      </c>
      <c r="P235" s="9" t="s">
        <v>155</v>
      </c>
      <c r="Q235" s="2"/>
      <c r="R235" s="9" t="s">
        <v>202</v>
      </c>
      <c r="S235" s="9"/>
      <c r="T235" s="9">
        <v>0.13</v>
      </c>
      <c r="U235" s="9" t="s">
        <v>156</v>
      </c>
      <c r="V235" s="9"/>
    </row>
    <row r="236" spans="1:22" x14ac:dyDescent="0.35">
      <c r="J236" s="9" t="s">
        <v>199</v>
      </c>
      <c r="K236" s="9"/>
      <c r="L236" s="9"/>
      <c r="M236" s="9"/>
      <c r="N236" s="9"/>
      <c r="O236" s="17">
        <v>4.1000000000000002E-2</v>
      </c>
      <c r="P236" s="9" t="s">
        <v>156</v>
      </c>
      <c r="Q236" s="2"/>
      <c r="R236" s="9" t="s">
        <v>203</v>
      </c>
      <c r="S236" s="9"/>
      <c r="T236" s="9">
        <v>0.81</v>
      </c>
      <c r="U236" s="9" t="s">
        <v>156</v>
      </c>
      <c r="V236" s="9"/>
    </row>
    <row r="237" spans="1:22" x14ac:dyDescent="0.35">
      <c r="J237" s="9" t="s">
        <v>208</v>
      </c>
      <c r="K237" s="9"/>
      <c r="L237" s="9"/>
      <c r="M237" s="9"/>
      <c r="N237" s="9"/>
      <c r="O237" s="17">
        <f>T234</f>
        <v>2</v>
      </c>
      <c r="P237" s="9" t="s">
        <v>156</v>
      </c>
      <c r="Q237" s="9"/>
      <c r="R237" s="9" t="s">
        <v>398</v>
      </c>
      <c r="S237" s="2"/>
      <c r="T237" s="9">
        <v>0.87</v>
      </c>
      <c r="U237" s="9" t="s">
        <v>156</v>
      </c>
      <c r="V237" s="2"/>
    </row>
    <row r="238" spans="1:22" x14ac:dyDescent="0.35">
      <c r="J238" s="9" t="s">
        <v>193</v>
      </c>
      <c r="K238" s="9"/>
      <c r="L238" s="9"/>
      <c r="M238" s="9"/>
      <c r="N238" s="9"/>
      <c r="O238" s="9">
        <f>1/(0.13+0.04+O233/O237+O235/O236)</f>
        <v>3.3898305084745757</v>
      </c>
      <c r="P238" s="9" t="s">
        <v>194</v>
      </c>
      <c r="Q238" s="9"/>
      <c r="R238" s="9"/>
      <c r="S238" s="9"/>
      <c r="T238" s="9"/>
      <c r="U238" s="9"/>
      <c r="V238" s="9"/>
    </row>
    <row r="239" spans="1:22" x14ac:dyDescent="0.35">
      <c r="J239" s="9" t="s">
        <v>197</v>
      </c>
      <c r="K239" s="2"/>
      <c r="L239" s="2"/>
      <c r="M239" s="2"/>
      <c r="N239" s="2"/>
      <c r="O239" s="2">
        <f>O238*O234</f>
        <v>3.3898305084745757</v>
      </c>
      <c r="P239" s="9" t="s">
        <v>198</v>
      </c>
      <c r="Q239" s="2"/>
      <c r="R239" s="2"/>
      <c r="S239" s="2"/>
      <c r="T239" s="2"/>
      <c r="U239" s="2"/>
      <c r="V239" s="2"/>
    </row>
    <row r="240" spans="1:22" x14ac:dyDescent="0.35">
      <c r="J240" s="9" t="s">
        <v>163</v>
      </c>
      <c r="K240" s="9"/>
      <c r="L240" s="9"/>
      <c r="M240" s="9"/>
      <c r="N240" s="9"/>
      <c r="O240" s="9">
        <f>O239*203*24/1000*U249</f>
        <v>82.576271186440664</v>
      </c>
      <c r="P240" s="9" t="s">
        <v>209</v>
      </c>
      <c r="Q240" s="9"/>
      <c r="R240" s="2"/>
      <c r="S240" s="2"/>
      <c r="T240" s="2"/>
      <c r="U240" s="2"/>
      <c r="V240" s="2"/>
    </row>
    <row r="241" spans="1:22" x14ac:dyDescent="0.35">
      <c r="J241" s="3" t="s">
        <v>205</v>
      </c>
      <c r="K241" s="9"/>
      <c r="L241" s="9"/>
      <c r="M241" s="9"/>
      <c r="N241" s="9"/>
      <c r="O241" s="9"/>
      <c r="P241" s="9"/>
      <c r="Q241" s="9"/>
      <c r="R241" s="9"/>
      <c r="S241" s="9"/>
      <c r="T241" s="9"/>
      <c r="U241" s="9"/>
      <c r="V241" s="9"/>
    </row>
    <row r="242" spans="1:22" x14ac:dyDescent="0.35">
      <c r="J242" s="9" t="s">
        <v>206</v>
      </c>
      <c r="K242" s="9"/>
      <c r="L242" s="9"/>
      <c r="M242" s="9"/>
      <c r="N242" s="9"/>
      <c r="O242" s="9">
        <v>0.25</v>
      </c>
      <c r="P242" s="9" t="s">
        <v>155</v>
      </c>
      <c r="Q242" s="9"/>
      <c r="R242" s="9" t="s">
        <v>159</v>
      </c>
      <c r="S242" s="9"/>
      <c r="T242" s="9"/>
      <c r="U242" s="9"/>
      <c r="V242" s="9"/>
    </row>
    <row r="243" spans="1:22" x14ac:dyDescent="0.35">
      <c r="J243" s="9" t="s">
        <v>189</v>
      </c>
      <c r="K243" s="9"/>
      <c r="L243" s="9"/>
      <c r="M243" s="9"/>
      <c r="N243" s="9"/>
      <c r="O243" s="17" t="e">
        <f>(IF('Apkure (karstais ūdens) un ēkas'!#REF!='Dati apkure'!B233,0.05,IF('Apkure (karstais ūdens) un ēkas'!#REF!='Dati apkure'!B234,0.1)))</f>
        <v>#REF!</v>
      </c>
      <c r="P243" s="9" t="s">
        <v>155</v>
      </c>
      <c r="Q243" s="9"/>
      <c r="R243" s="9" t="s">
        <v>278</v>
      </c>
      <c r="S243" s="9"/>
      <c r="T243" s="9">
        <v>4.1000000000000002E-2</v>
      </c>
      <c r="U243" s="9" t="s">
        <v>156</v>
      </c>
      <c r="V243" s="9"/>
    </row>
    <row r="244" spans="1:22" x14ac:dyDescent="0.35">
      <c r="J244" s="9" t="s">
        <v>199</v>
      </c>
      <c r="K244" s="9"/>
      <c r="L244" s="9"/>
      <c r="M244" s="9"/>
      <c r="N244" s="9"/>
      <c r="O244" s="17" t="e">
        <f>(IF('Apkure (karstais ūdens) un ēkas'!#REF!='Dati apkure'!B233,T244,IF('Apkure (karstais ūdens) un ēkas'!#REF!='Dati apkure'!B234,T244)))</f>
        <v>#REF!</v>
      </c>
      <c r="P244" s="9" t="s">
        <v>156</v>
      </c>
      <c r="Q244" s="9"/>
      <c r="R244" s="2" t="s">
        <v>279</v>
      </c>
      <c r="S244" s="2"/>
      <c r="T244" s="2">
        <v>3.5999999999999997E-2</v>
      </c>
      <c r="U244" s="9" t="s">
        <v>156</v>
      </c>
      <c r="V244" s="2"/>
    </row>
    <row r="245" spans="1:22" x14ac:dyDescent="0.35">
      <c r="J245" s="9" t="s">
        <v>208</v>
      </c>
      <c r="K245" s="9"/>
      <c r="L245" s="9"/>
      <c r="M245" s="9"/>
      <c r="N245" s="9"/>
      <c r="O245" s="17">
        <f>O237</f>
        <v>2</v>
      </c>
      <c r="P245" s="9" t="s">
        <v>156</v>
      </c>
      <c r="Q245" s="9"/>
      <c r="R245" s="9" t="s">
        <v>162</v>
      </c>
      <c r="S245" s="9"/>
      <c r="T245" s="9">
        <v>3.5999999999999997E-2</v>
      </c>
      <c r="U245" s="9" t="s">
        <v>156</v>
      </c>
      <c r="V245" s="9"/>
    </row>
    <row r="246" spans="1:22" x14ac:dyDescent="0.35">
      <c r="J246" s="9" t="s">
        <v>193</v>
      </c>
      <c r="K246" s="9"/>
      <c r="L246" s="9"/>
      <c r="M246" s="9"/>
      <c r="N246" s="9"/>
      <c r="O246" s="9" t="e">
        <f>1/(0.13+0.04+O242/O245+O243/O244)</f>
        <v>#REF!</v>
      </c>
      <c r="P246" s="9" t="s">
        <v>194</v>
      </c>
      <c r="Q246" s="9"/>
      <c r="R246" s="9" t="s">
        <v>187</v>
      </c>
      <c r="S246" s="9"/>
      <c r="T246" s="9">
        <v>2.7E-2</v>
      </c>
      <c r="U246" s="9" t="s">
        <v>156</v>
      </c>
      <c r="V246" s="9"/>
    </row>
    <row r="247" spans="1:22" x14ac:dyDescent="0.35">
      <c r="J247" s="9" t="s">
        <v>197</v>
      </c>
      <c r="K247" s="2"/>
      <c r="L247" s="2"/>
      <c r="M247" s="2"/>
      <c r="N247" s="2"/>
      <c r="O247" s="2" t="e">
        <f>O246*O234</f>
        <v>#REF!</v>
      </c>
      <c r="P247" s="9" t="s">
        <v>198</v>
      </c>
      <c r="Q247" s="2"/>
      <c r="R247" s="9" t="s">
        <v>170</v>
      </c>
      <c r="S247" s="9"/>
      <c r="T247" s="9"/>
      <c r="U247" s="9">
        <v>5</v>
      </c>
      <c r="V247" s="9" t="s">
        <v>143</v>
      </c>
    </row>
    <row r="248" spans="1:22" x14ac:dyDescent="0.35">
      <c r="J248" s="9" t="s">
        <v>163</v>
      </c>
      <c r="K248" s="9"/>
      <c r="L248" s="9"/>
      <c r="M248" s="9"/>
      <c r="N248" s="9"/>
      <c r="O248" s="9" t="e">
        <f>O247*203*24/1000*U249</f>
        <v>#REF!</v>
      </c>
      <c r="P248" s="9" t="s">
        <v>209</v>
      </c>
      <c r="Q248" s="9"/>
      <c r="R248" s="9" t="s">
        <v>286</v>
      </c>
      <c r="S248" s="9"/>
      <c r="T248" s="9"/>
      <c r="U248" s="9">
        <v>0</v>
      </c>
      <c r="V248" s="9" t="s">
        <v>143</v>
      </c>
    </row>
    <row r="249" spans="1:22" x14ac:dyDescent="0.35">
      <c r="J249" s="3" t="s">
        <v>168</v>
      </c>
      <c r="K249" s="9"/>
      <c r="L249" s="9"/>
      <c r="M249" s="9"/>
      <c r="N249" s="9"/>
      <c r="O249" s="18" t="e">
        <f>O240-O248</f>
        <v>#REF!</v>
      </c>
      <c r="P249" s="9" t="s">
        <v>209</v>
      </c>
      <c r="Q249" s="9"/>
      <c r="R249" s="9" t="s">
        <v>171</v>
      </c>
      <c r="S249" s="9"/>
      <c r="T249" s="9"/>
      <c r="U249" s="9">
        <f>U247-U248</f>
        <v>5</v>
      </c>
      <c r="V249" s="9" t="s">
        <v>143</v>
      </c>
    </row>
    <row r="250" spans="1:22" x14ac:dyDescent="0.35">
      <c r="C250" s="31"/>
    </row>
    <row r="251" spans="1:22" x14ac:dyDescent="0.35">
      <c r="A251" s="2" t="s">
        <v>226</v>
      </c>
      <c r="C251" s="31"/>
      <c r="J251" s="3" t="s">
        <v>204</v>
      </c>
      <c r="K251" s="9"/>
      <c r="L251" s="9"/>
      <c r="M251" s="9"/>
      <c r="N251" s="9"/>
      <c r="O251" s="9"/>
      <c r="P251" s="9"/>
      <c r="Q251" s="9"/>
      <c r="R251" s="9"/>
      <c r="S251" s="9"/>
      <c r="T251" s="9"/>
      <c r="U251" s="9"/>
      <c r="V251" s="9"/>
    </row>
    <row r="252" spans="1:22" x14ac:dyDescent="0.35">
      <c r="B252" t="s">
        <v>229</v>
      </c>
      <c r="C252" s="37" t="s">
        <v>238</v>
      </c>
      <c r="J252" s="9" t="s">
        <v>206</v>
      </c>
      <c r="K252" s="9"/>
      <c r="L252" s="9"/>
      <c r="M252" s="9"/>
      <c r="N252" s="9"/>
      <c r="O252" s="9">
        <v>0.25</v>
      </c>
      <c r="P252" s="9" t="s">
        <v>155</v>
      </c>
      <c r="Q252" s="9"/>
      <c r="R252" s="9" t="s">
        <v>159</v>
      </c>
      <c r="S252" s="9"/>
      <c r="T252" s="9"/>
      <c r="U252" s="9"/>
      <c r="V252" s="9"/>
    </row>
    <row r="253" spans="1:22" x14ac:dyDescent="0.35">
      <c r="B253" t="s">
        <v>230</v>
      </c>
      <c r="C253" s="37" t="s">
        <v>239</v>
      </c>
      <c r="J253" s="9" t="s">
        <v>207</v>
      </c>
      <c r="K253" s="9"/>
      <c r="L253" s="9"/>
      <c r="M253" s="9"/>
      <c r="N253" s="9"/>
      <c r="O253" s="9">
        <v>1</v>
      </c>
      <c r="P253" s="9" t="s">
        <v>196</v>
      </c>
      <c r="Q253" s="9"/>
      <c r="R253" s="9" t="s">
        <v>201</v>
      </c>
      <c r="S253" s="9"/>
      <c r="T253" s="9">
        <v>2</v>
      </c>
      <c r="U253" s="9" t="s">
        <v>156</v>
      </c>
      <c r="V253" s="9"/>
    </row>
    <row r="254" spans="1:22" x14ac:dyDescent="0.35">
      <c r="C254" s="37"/>
      <c r="J254" s="9" t="s">
        <v>189</v>
      </c>
      <c r="K254" s="2"/>
      <c r="L254" s="2"/>
      <c r="M254" s="2"/>
      <c r="N254" s="2"/>
      <c r="O254" s="17">
        <v>0</v>
      </c>
      <c r="P254" s="9" t="s">
        <v>155</v>
      </c>
      <c r="Q254" s="2"/>
      <c r="R254" s="9" t="s">
        <v>202</v>
      </c>
      <c r="S254" s="9"/>
      <c r="T254" s="9">
        <v>0.13</v>
      </c>
      <c r="U254" s="9" t="s">
        <v>156</v>
      </c>
      <c r="V254" s="9"/>
    </row>
    <row r="255" spans="1:22" x14ac:dyDescent="0.35">
      <c r="C255" s="37"/>
      <c r="J255" s="9" t="s">
        <v>199</v>
      </c>
      <c r="K255" s="9"/>
      <c r="L255" s="9"/>
      <c r="M255" s="9"/>
      <c r="N255" s="9"/>
      <c r="O255" s="17">
        <v>4.1000000000000002E-2</v>
      </c>
      <c r="P255" s="9" t="s">
        <v>156</v>
      </c>
      <c r="Q255" s="2"/>
      <c r="R255" s="9" t="s">
        <v>203</v>
      </c>
      <c r="S255" s="9"/>
      <c r="T255" s="9">
        <v>0.81</v>
      </c>
      <c r="U255" s="9" t="s">
        <v>156</v>
      </c>
      <c r="V255" s="9"/>
    </row>
    <row r="256" spans="1:22" x14ac:dyDescent="0.35">
      <c r="C256" s="37"/>
      <c r="J256" s="9" t="s">
        <v>208</v>
      </c>
      <c r="K256" s="9"/>
      <c r="L256" s="9"/>
      <c r="M256" s="9"/>
      <c r="N256" s="9"/>
      <c r="O256" s="17" t="e">
        <f>(IF('Apkure (karstais ūdens) un ēkas'!#REF!='Dati apkure'!C252,T254,IF('Apkure (karstais ūdens) un ēkas'!#REF!='Dati apkure'!C253,T253,)))</f>
        <v>#REF!</v>
      </c>
      <c r="P256" s="9" t="s">
        <v>156</v>
      </c>
      <c r="Q256" s="9"/>
      <c r="R256" s="9" t="s">
        <v>398</v>
      </c>
      <c r="S256" s="2"/>
      <c r="T256" s="9">
        <v>0.87</v>
      </c>
      <c r="U256" s="9" t="s">
        <v>156</v>
      </c>
      <c r="V256" s="2"/>
    </row>
    <row r="257" spans="1:22" x14ac:dyDescent="0.35">
      <c r="C257" s="37"/>
      <c r="J257" s="9" t="s">
        <v>193</v>
      </c>
      <c r="K257" s="9"/>
      <c r="L257" s="9"/>
      <c r="M257" s="9"/>
      <c r="N257" s="9"/>
      <c r="O257" s="9" t="e">
        <f>1/(0.13+0.04+O252/O256+O254/O255)</f>
        <v>#REF!</v>
      </c>
      <c r="P257" s="9" t="s">
        <v>194</v>
      </c>
      <c r="Q257" s="9"/>
      <c r="R257" s="9"/>
      <c r="S257" s="9"/>
      <c r="T257" s="9"/>
      <c r="U257" s="9"/>
      <c r="V257" s="9"/>
    </row>
    <row r="258" spans="1:22" x14ac:dyDescent="0.35">
      <c r="C258" s="31"/>
      <c r="J258" s="9" t="s">
        <v>197</v>
      </c>
      <c r="K258" s="2"/>
      <c r="L258" s="2"/>
      <c r="M258" s="2"/>
      <c r="N258" s="2"/>
      <c r="O258" s="2" t="e">
        <f>O257*O253</f>
        <v>#REF!</v>
      </c>
      <c r="P258" s="9" t="s">
        <v>198</v>
      </c>
      <c r="Q258" s="2"/>
      <c r="R258" s="2"/>
      <c r="S258" s="2"/>
      <c r="T258" s="2"/>
      <c r="U258" s="2"/>
      <c r="V258" s="2"/>
    </row>
    <row r="259" spans="1:22" x14ac:dyDescent="0.35">
      <c r="C259" s="37"/>
      <c r="J259" s="9" t="s">
        <v>163</v>
      </c>
      <c r="K259" s="9"/>
      <c r="L259" s="9"/>
      <c r="M259" s="9"/>
      <c r="N259" s="9"/>
      <c r="O259" s="9" t="e">
        <f>O258*203*24/1000*U268</f>
        <v>#REF!</v>
      </c>
      <c r="P259" s="9" t="s">
        <v>209</v>
      </c>
      <c r="Q259" s="9"/>
      <c r="R259" s="2"/>
      <c r="S259" s="2"/>
      <c r="T259" s="2"/>
      <c r="U259" s="2"/>
      <c r="V259" s="2"/>
    </row>
    <row r="260" spans="1:22" x14ac:dyDescent="0.35">
      <c r="C260" s="37"/>
      <c r="J260" s="3" t="s">
        <v>205</v>
      </c>
      <c r="K260" s="9"/>
      <c r="L260" s="9"/>
      <c r="M260" s="9"/>
      <c r="N260" s="9"/>
      <c r="O260" s="9"/>
      <c r="P260" s="9"/>
      <c r="Q260" s="9"/>
      <c r="R260" s="9"/>
      <c r="S260" s="9"/>
      <c r="T260" s="9"/>
      <c r="U260" s="9"/>
      <c r="V260" s="9"/>
    </row>
    <row r="261" spans="1:22" x14ac:dyDescent="0.35">
      <c r="C261" s="37"/>
      <c r="J261" s="9" t="s">
        <v>206</v>
      </c>
      <c r="K261" s="9"/>
      <c r="L261" s="9"/>
      <c r="M261" s="9"/>
      <c r="N261" s="9"/>
      <c r="O261" s="9">
        <v>0.25</v>
      </c>
      <c r="P261" s="9" t="s">
        <v>155</v>
      </c>
      <c r="Q261" s="9"/>
      <c r="R261" s="9" t="s">
        <v>159</v>
      </c>
      <c r="S261" s="9"/>
      <c r="T261" s="9"/>
      <c r="U261" s="9"/>
      <c r="V261" s="9"/>
    </row>
    <row r="262" spans="1:22" x14ac:dyDescent="0.35">
      <c r="C262" s="37"/>
      <c r="J262" s="9" t="s">
        <v>189</v>
      </c>
      <c r="K262" s="9"/>
      <c r="L262" s="9"/>
      <c r="M262" s="9"/>
      <c r="N262" s="9"/>
      <c r="O262" s="17" t="e">
        <f>(IF('Apkure (karstais ūdens) un ēkas'!#REF!='Dati apkure'!B252,0.05,IF('Apkure (karstais ūdens) un ēkas'!#REF!='Dati apkure'!B253,0.1)))</f>
        <v>#REF!</v>
      </c>
      <c r="P262" s="9" t="s">
        <v>155</v>
      </c>
      <c r="Q262" s="9"/>
      <c r="R262" s="9" t="s">
        <v>278</v>
      </c>
      <c r="S262" s="9"/>
      <c r="T262" s="9">
        <v>4.1000000000000002E-2</v>
      </c>
      <c r="U262" s="9" t="s">
        <v>156</v>
      </c>
      <c r="V262" s="9"/>
    </row>
    <row r="263" spans="1:22" x14ac:dyDescent="0.35">
      <c r="C263" s="37"/>
      <c r="J263" s="9" t="s">
        <v>199</v>
      </c>
      <c r="K263" s="9"/>
      <c r="L263" s="9"/>
      <c r="M263" s="9"/>
      <c r="N263" s="9"/>
      <c r="O263" s="17" t="e">
        <f>(IF('Apkure (karstais ūdens) un ēkas'!#REF!='Dati apkure'!B252,T263,IF('Apkure (karstais ūdens) un ēkas'!#REF!='Dati apkure'!B253,T263)))</f>
        <v>#REF!</v>
      </c>
      <c r="P263" s="9" t="s">
        <v>156</v>
      </c>
      <c r="Q263" s="9"/>
      <c r="R263" s="2" t="s">
        <v>279</v>
      </c>
      <c r="S263" s="2"/>
      <c r="T263" s="2">
        <v>3.5999999999999997E-2</v>
      </c>
      <c r="U263" s="9" t="s">
        <v>156</v>
      </c>
      <c r="V263" s="2"/>
    </row>
    <row r="264" spans="1:22" x14ac:dyDescent="0.35">
      <c r="J264" s="9" t="s">
        <v>208</v>
      </c>
      <c r="K264" s="9"/>
      <c r="L264" s="9"/>
      <c r="M264" s="9"/>
      <c r="N264" s="9"/>
      <c r="O264" s="17" t="e">
        <f>O256</f>
        <v>#REF!</v>
      </c>
      <c r="P264" s="9" t="s">
        <v>156</v>
      </c>
      <c r="Q264" s="9"/>
      <c r="R264" s="9" t="s">
        <v>162</v>
      </c>
      <c r="S264" s="9"/>
      <c r="T264" s="9">
        <v>3.5999999999999997E-2</v>
      </c>
      <c r="U264" s="9" t="s">
        <v>156</v>
      </c>
      <c r="V264" s="9"/>
    </row>
    <row r="265" spans="1:22" x14ac:dyDescent="0.35">
      <c r="J265" s="9" t="s">
        <v>193</v>
      </c>
      <c r="K265" s="9"/>
      <c r="L265" s="9"/>
      <c r="M265" s="9"/>
      <c r="N265" s="9"/>
      <c r="O265" s="9" t="e">
        <f>1/(0.13+0.04+O261/O264+O262/O263)</f>
        <v>#REF!</v>
      </c>
      <c r="P265" s="9" t="s">
        <v>194</v>
      </c>
      <c r="Q265" s="9"/>
      <c r="R265" s="9" t="s">
        <v>187</v>
      </c>
      <c r="S265" s="9"/>
      <c r="T265" s="9">
        <v>2.7E-2</v>
      </c>
      <c r="U265" s="9" t="s">
        <v>156</v>
      </c>
      <c r="V265" s="9"/>
    </row>
    <row r="266" spans="1:22" x14ac:dyDescent="0.35">
      <c r="J266" s="9" t="s">
        <v>197</v>
      </c>
      <c r="K266" s="2"/>
      <c r="L266" s="2"/>
      <c r="M266" s="2"/>
      <c r="N266" s="2"/>
      <c r="O266" s="2" t="e">
        <f>O265*O253</f>
        <v>#REF!</v>
      </c>
      <c r="P266" s="9" t="s">
        <v>198</v>
      </c>
      <c r="Q266" s="2"/>
      <c r="R266" s="9" t="s">
        <v>170</v>
      </c>
      <c r="S266" s="9"/>
      <c r="T266" s="9"/>
      <c r="U266" s="38">
        <v>18</v>
      </c>
      <c r="V266" s="9" t="s">
        <v>143</v>
      </c>
    </row>
    <row r="267" spans="1:22" x14ac:dyDescent="0.35">
      <c r="J267" s="9" t="s">
        <v>163</v>
      </c>
      <c r="K267" s="9"/>
      <c r="L267" s="9"/>
      <c r="M267" s="9"/>
      <c r="N267" s="9"/>
      <c r="O267" s="9" t="e">
        <f>O266*203*24/1000*U268</f>
        <v>#REF!</v>
      </c>
      <c r="P267" s="9" t="s">
        <v>209</v>
      </c>
      <c r="Q267" s="9"/>
      <c r="R267" s="9" t="s">
        <v>286</v>
      </c>
      <c r="S267" s="9"/>
      <c r="T267" s="9"/>
      <c r="U267" s="38">
        <v>15</v>
      </c>
      <c r="V267" s="9" t="s">
        <v>143</v>
      </c>
    </row>
    <row r="268" spans="1:22" x14ac:dyDescent="0.35">
      <c r="J268" s="3" t="s">
        <v>168</v>
      </c>
      <c r="K268" s="9"/>
      <c r="L268" s="9"/>
      <c r="M268" s="9"/>
      <c r="N268" s="9"/>
      <c r="O268" s="18" t="e">
        <f>O259-O267</f>
        <v>#REF!</v>
      </c>
      <c r="P268" s="9" t="s">
        <v>209</v>
      </c>
      <c r="Q268" s="9"/>
      <c r="R268" s="9" t="s">
        <v>171</v>
      </c>
      <c r="S268" s="9"/>
      <c r="T268" s="9"/>
      <c r="U268" s="9">
        <f>U266-U267</f>
        <v>3</v>
      </c>
      <c r="V268" s="9" t="s">
        <v>143</v>
      </c>
    </row>
    <row r="270" spans="1:22" x14ac:dyDescent="0.35">
      <c r="A270" t="s">
        <v>227</v>
      </c>
      <c r="J270" s="3" t="s">
        <v>204</v>
      </c>
      <c r="K270" s="9"/>
      <c r="L270" s="9"/>
      <c r="M270" s="9"/>
      <c r="N270" s="9"/>
      <c r="O270" s="9"/>
      <c r="P270" s="9"/>
      <c r="Q270" s="9"/>
      <c r="R270" s="9"/>
      <c r="S270" s="9"/>
      <c r="T270" s="9"/>
      <c r="U270" s="9"/>
      <c r="V270" s="9"/>
    </row>
    <row r="271" spans="1:22" x14ac:dyDescent="0.35">
      <c r="B271" s="2" t="s">
        <v>229</v>
      </c>
      <c r="J271" s="9" t="s">
        <v>206</v>
      </c>
      <c r="K271" s="9"/>
      <c r="L271" s="9"/>
      <c r="M271" s="9"/>
      <c r="N271" s="9"/>
      <c r="O271" s="9">
        <v>0.25</v>
      </c>
      <c r="P271" s="9" t="s">
        <v>155</v>
      </c>
      <c r="Q271" s="9"/>
      <c r="R271" s="9" t="s">
        <v>159</v>
      </c>
      <c r="S271" s="9"/>
      <c r="T271" s="9"/>
      <c r="U271" s="9"/>
      <c r="V271" s="9"/>
    </row>
    <row r="272" spans="1:22" x14ac:dyDescent="0.35">
      <c r="B272" s="2" t="s">
        <v>230</v>
      </c>
      <c r="J272" s="9" t="s">
        <v>207</v>
      </c>
      <c r="K272" s="9"/>
      <c r="L272" s="9"/>
      <c r="M272" s="9"/>
      <c r="N272" s="9"/>
      <c r="O272" s="9">
        <v>1</v>
      </c>
      <c r="P272" s="9" t="s">
        <v>196</v>
      </c>
      <c r="Q272" s="9"/>
      <c r="R272" s="9" t="s">
        <v>201</v>
      </c>
      <c r="S272" s="9"/>
      <c r="T272" s="9">
        <v>2</v>
      </c>
      <c r="U272" s="9" t="s">
        <v>156</v>
      </c>
      <c r="V272" s="9"/>
    </row>
    <row r="273" spans="10:22" x14ac:dyDescent="0.35">
      <c r="J273" s="9" t="s">
        <v>189</v>
      </c>
      <c r="K273" s="2"/>
      <c r="L273" s="2"/>
      <c r="M273" s="2"/>
      <c r="N273" s="2"/>
      <c r="O273" s="17">
        <v>0</v>
      </c>
      <c r="P273" s="9" t="s">
        <v>155</v>
      </c>
      <c r="Q273" s="2"/>
      <c r="R273" s="9" t="s">
        <v>202</v>
      </c>
      <c r="S273" s="9"/>
      <c r="T273" s="9">
        <v>0.13</v>
      </c>
      <c r="U273" s="9" t="s">
        <v>156</v>
      </c>
      <c r="V273" s="9"/>
    </row>
    <row r="274" spans="10:22" x14ac:dyDescent="0.35">
      <c r="J274" s="9" t="s">
        <v>199</v>
      </c>
      <c r="K274" s="9"/>
      <c r="L274" s="9"/>
      <c r="M274" s="9"/>
      <c r="N274" s="9"/>
      <c r="O274" s="17">
        <v>4.1000000000000002E-2</v>
      </c>
      <c r="P274" s="9" t="s">
        <v>156</v>
      </c>
      <c r="Q274" s="2"/>
      <c r="R274" s="9" t="s">
        <v>203</v>
      </c>
      <c r="S274" s="9"/>
      <c r="T274" s="9">
        <v>0.81</v>
      </c>
      <c r="U274" s="9" t="s">
        <v>156</v>
      </c>
      <c r="V274" s="9"/>
    </row>
    <row r="275" spans="10:22" x14ac:dyDescent="0.35">
      <c r="J275" s="9" t="s">
        <v>208</v>
      </c>
      <c r="K275" s="9"/>
      <c r="L275" s="9"/>
      <c r="M275" s="9"/>
      <c r="N275" s="9"/>
      <c r="O275" s="17" t="e">
        <f>(IF('Apkure (karstais ūdens) un ēkas'!#REF!='Dati apkure'!C252,T273,IF('Apkure (karstais ūdens) un ēkas'!#REF!='Dati apkure'!C253,T272,)))</f>
        <v>#REF!</v>
      </c>
      <c r="P275" s="9" t="s">
        <v>156</v>
      </c>
      <c r="Q275" s="9"/>
      <c r="R275" s="9" t="s">
        <v>398</v>
      </c>
      <c r="S275" s="2"/>
      <c r="T275" s="9">
        <v>0.87</v>
      </c>
      <c r="U275" s="9" t="s">
        <v>156</v>
      </c>
      <c r="V275" s="2"/>
    </row>
    <row r="276" spans="10:22" x14ac:dyDescent="0.35">
      <c r="J276" s="9" t="s">
        <v>193</v>
      </c>
      <c r="K276" s="9"/>
      <c r="L276" s="9"/>
      <c r="M276" s="9"/>
      <c r="N276" s="9"/>
      <c r="O276" s="9" t="e">
        <f>1/(0.13+0.04+O271/O275+O273/O274)</f>
        <v>#REF!</v>
      </c>
      <c r="P276" s="9" t="s">
        <v>194</v>
      </c>
      <c r="Q276" s="9"/>
      <c r="R276" s="9"/>
      <c r="S276" s="9"/>
      <c r="T276" s="9"/>
      <c r="U276" s="9"/>
      <c r="V276" s="9"/>
    </row>
    <row r="277" spans="10:22" x14ac:dyDescent="0.35">
      <c r="J277" s="9" t="s">
        <v>197</v>
      </c>
      <c r="K277" s="2"/>
      <c r="L277" s="2"/>
      <c r="M277" s="2"/>
      <c r="N277" s="2"/>
      <c r="O277" s="2" t="e">
        <f>O276*O272</f>
        <v>#REF!</v>
      </c>
      <c r="P277" s="9" t="s">
        <v>198</v>
      </c>
      <c r="Q277" s="2"/>
      <c r="R277" s="2"/>
      <c r="S277" s="2"/>
      <c r="T277" s="2"/>
      <c r="U277" s="2"/>
      <c r="V277" s="2"/>
    </row>
    <row r="278" spans="10:22" x14ac:dyDescent="0.35">
      <c r="J278" s="9" t="s">
        <v>163</v>
      </c>
      <c r="K278" s="9"/>
      <c r="L278" s="9"/>
      <c r="M278" s="9"/>
      <c r="N278" s="9"/>
      <c r="O278" s="9" t="e">
        <f>O277*203*24/1000*U287</f>
        <v>#REF!</v>
      </c>
      <c r="P278" s="9" t="s">
        <v>209</v>
      </c>
      <c r="Q278" s="9"/>
      <c r="R278" s="2"/>
      <c r="S278" s="2"/>
      <c r="T278" s="2"/>
      <c r="U278" s="2"/>
      <c r="V278" s="2"/>
    </row>
    <row r="279" spans="10:22" x14ac:dyDescent="0.35">
      <c r="J279" s="3" t="s">
        <v>205</v>
      </c>
      <c r="K279" s="9"/>
      <c r="L279" s="9"/>
      <c r="M279" s="9"/>
      <c r="N279" s="9"/>
      <c r="O279" s="9"/>
      <c r="P279" s="9"/>
      <c r="Q279" s="9"/>
      <c r="R279" s="9"/>
      <c r="S279" s="9"/>
      <c r="T279" s="9"/>
      <c r="U279" s="9"/>
      <c r="V279" s="9"/>
    </row>
    <row r="280" spans="10:22" x14ac:dyDescent="0.35">
      <c r="J280" s="9" t="s">
        <v>206</v>
      </c>
      <c r="K280" s="9"/>
      <c r="L280" s="9"/>
      <c r="M280" s="9"/>
      <c r="N280" s="9"/>
      <c r="O280" s="9">
        <v>0.25</v>
      </c>
      <c r="P280" s="9" t="s">
        <v>155</v>
      </c>
      <c r="Q280" s="9"/>
      <c r="R280" s="9" t="s">
        <v>159</v>
      </c>
      <c r="S280" s="9"/>
      <c r="T280" s="9"/>
      <c r="U280" s="9"/>
      <c r="V280" s="9"/>
    </row>
    <row r="281" spans="10:22" x14ac:dyDescent="0.35">
      <c r="J281" s="9" t="s">
        <v>189</v>
      </c>
      <c r="K281" s="9"/>
      <c r="L281" s="9"/>
      <c r="M281" s="9"/>
      <c r="N281" s="9"/>
      <c r="O281" s="17" t="e">
        <f>(IF('Apkure (karstais ūdens) un ēkas'!#REF!='Dati apkure'!B271,0.05,IF('Apkure (karstais ūdens) un ēkas'!#REF!='Dati apkure'!B272,0.1)))</f>
        <v>#REF!</v>
      </c>
      <c r="P281" s="9" t="s">
        <v>155</v>
      </c>
      <c r="Q281" s="9"/>
      <c r="R281" s="9" t="s">
        <v>278</v>
      </c>
      <c r="S281" s="9"/>
      <c r="T281" s="9">
        <v>4.1000000000000002E-2</v>
      </c>
      <c r="U281" s="9" t="s">
        <v>156</v>
      </c>
      <c r="V281" s="9"/>
    </row>
    <row r="282" spans="10:22" x14ac:dyDescent="0.35">
      <c r="J282" s="9" t="s">
        <v>199</v>
      </c>
      <c r="K282" s="9"/>
      <c r="L282" s="9"/>
      <c r="M282" s="9"/>
      <c r="N282" s="9"/>
      <c r="O282" s="17" t="e">
        <f>(IF('Apkure (karstais ūdens) un ēkas'!#REF!='Dati apkure'!B271,T282,IF('Apkure (karstais ūdens) un ēkas'!#REF!='Dati apkure'!B272,T282)))</f>
        <v>#REF!</v>
      </c>
      <c r="P282" s="9" t="s">
        <v>156</v>
      </c>
      <c r="Q282" s="9"/>
      <c r="R282" s="2" t="s">
        <v>279</v>
      </c>
      <c r="S282" s="2"/>
      <c r="T282" s="2">
        <v>3.5999999999999997E-2</v>
      </c>
      <c r="U282" s="9" t="s">
        <v>156</v>
      </c>
      <c r="V282" s="2"/>
    </row>
    <row r="283" spans="10:22" x14ac:dyDescent="0.35">
      <c r="J283" s="9" t="s">
        <v>208</v>
      </c>
      <c r="K283" s="9"/>
      <c r="L283" s="9"/>
      <c r="M283" s="9"/>
      <c r="N283" s="9"/>
      <c r="O283" s="17" t="e">
        <f>O275</f>
        <v>#REF!</v>
      </c>
      <c r="P283" s="9" t="s">
        <v>156</v>
      </c>
      <c r="Q283" s="9"/>
      <c r="R283" s="9" t="s">
        <v>162</v>
      </c>
      <c r="S283" s="9"/>
      <c r="T283" s="9">
        <v>3.5999999999999997E-2</v>
      </c>
      <c r="U283" s="9" t="s">
        <v>156</v>
      </c>
      <c r="V283" s="9"/>
    </row>
    <row r="284" spans="10:22" x14ac:dyDescent="0.35">
      <c r="J284" s="9" t="s">
        <v>193</v>
      </c>
      <c r="K284" s="9"/>
      <c r="L284" s="9"/>
      <c r="M284" s="9"/>
      <c r="N284" s="9"/>
      <c r="O284" s="9" t="e">
        <f>1/(0.13+0.04+O280/O283+O281/O282)</f>
        <v>#REF!</v>
      </c>
      <c r="P284" s="9" t="s">
        <v>194</v>
      </c>
      <c r="Q284" s="9"/>
      <c r="R284" s="9" t="s">
        <v>187</v>
      </c>
      <c r="S284" s="9"/>
      <c r="T284" s="9">
        <v>2.7E-2</v>
      </c>
      <c r="U284" s="9" t="s">
        <v>156</v>
      </c>
      <c r="V284" s="9"/>
    </row>
    <row r="285" spans="10:22" x14ac:dyDescent="0.35">
      <c r="J285" s="9" t="s">
        <v>197</v>
      </c>
      <c r="K285" s="2"/>
      <c r="L285" s="2"/>
      <c r="M285" s="2"/>
      <c r="N285" s="2"/>
      <c r="O285" s="2" t="e">
        <f>O284*O272</f>
        <v>#REF!</v>
      </c>
      <c r="P285" s="9" t="s">
        <v>198</v>
      </c>
      <c r="Q285" s="2"/>
      <c r="R285" s="9" t="s">
        <v>170</v>
      </c>
      <c r="S285" s="9"/>
      <c r="T285" s="9"/>
      <c r="U285" s="38">
        <v>18</v>
      </c>
      <c r="V285" s="9" t="s">
        <v>143</v>
      </c>
    </row>
    <row r="286" spans="10:22" x14ac:dyDescent="0.35">
      <c r="J286" s="9" t="s">
        <v>163</v>
      </c>
      <c r="K286" s="9"/>
      <c r="L286" s="9"/>
      <c r="M286" s="9"/>
      <c r="N286" s="9"/>
      <c r="O286" s="9" t="e">
        <f>O285*203*24/1000*U287</f>
        <v>#REF!</v>
      </c>
      <c r="P286" s="9" t="s">
        <v>209</v>
      </c>
      <c r="Q286" s="9"/>
      <c r="R286" s="9" t="s">
        <v>286</v>
      </c>
      <c r="S286" s="9"/>
      <c r="T286" s="9"/>
      <c r="U286" s="38">
        <v>5</v>
      </c>
      <c r="V286" s="9" t="s">
        <v>143</v>
      </c>
    </row>
    <row r="287" spans="10:22" x14ac:dyDescent="0.35">
      <c r="J287" s="3" t="s">
        <v>168</v>
      </c>
      <c r="K287" s="9"/>
      <c r="L287" s="9"/>
      <c r="M287" s="9"/>
      <c r="N287" s="9"/>
      <c r="O287" s="18" t="e">
        <f>O278-O286</f>
        <v>#REF!</v>
      </c>
      <c r="P287" s="9" t="s">
        <v>209</v>
      </c>
      <c r="Q287" s="9"/>
      <c r="R287" s="9" t="s">
        <v>171</v>
      </c>
      <c r="S287" s="9"/>
      <c r="T287" s="9"/>
      <c r="U287" s="9">
        <f>U285-U286</f>
        <v>13</v>
      </c>
      <c r="V287" s="9" t="s">
        <v>143</v>
      </c>
    </row>
    <row r="289" spans="1:22" x14ac:dyDescent="0.35">
      <c r="A289" s="2" t="s">
        <v>241</v>
      </c>
      <c r="B289">
        <v>4</v>
      </c>
      <c r="C289">
        <v>2</v>
      </c>
      <c r="J289" s="3" t="s">
        <v>204</v>
      </c>
      <c r="K289" s="9"/>
      <c r="L289" s="9"/>
      <c r="M289" s="9"/>
      <c r="N289" s="9"/>
      <c r="O289" s="9"/>
      <c r="P289" s="9"/>
      <c r="Q289" s="9"/>
      <c r="R289" s="9"/>
      <c r="S289" s="9"/>
      <c r="T289" s="9"/>
      <c r="U289" s="9"/>
      <c r="V289" s="9"/>
    </row>
    <row r="290" spans="1:22" x14ac:dyDescent="0.35">
      <c r="B290" t="s">
        <v>225</v>
      </c>
      <c r="C290" t="s">
        <v>243</v>
      </c>
      <c r="J290" s="9" t="s">
        <v>206</v>
      </c>
      <c r="K290" s="9"/>
      <c r="L290" s="9"/>
      <c r="M290" s="9"/>
      <c r="N290" s="9"/>
      <c r="O290" s="9">
        <v>0.25</v>
      </c>
      <c r="P290" s="9" t="s">
        <v>155</v>
      </c>
      <c r="Q290" s="9"/>
      <c r="R290" s="9" t="s">
        <v>159</v>
      </c>
      <c r="S290" s="9"/>
      <c r="T290" s="9"/>
      <c r="U290" s="9"/>
      <c r="V290" s="9"/>
    </row>
    <row r="291" spans="1:22" x14ac:dyDescent="0.35">
      <c r="B291" t="s">
        <v>221</v>
      </c>
      <c r="C291" t="s">
        <v>242</v>
      </c>
      <c r="J291" s="9" t="s">
        <v>207</v>
      </c>
      <c r="K291" s="9"/>
      <c r="L291" s="9"/>
      <c r="M291" s="9"/>
      <c r="N291" s="9"/>
      <c r="O291" s="9">
        <v>1</v>
      </c>
      <c r="P291" s="9" t="s">
        <v>196</v>
      </c>
      <c r="Q291" s="9"/>
      <c r="R291" s="9" t="s">
        <v>201</v>
      </c>
      <c r="S291" s="9"/>
      <c r="T291" s="9">
        <v>2</v>
      </c>
      <c r="U291" s="9" t="s">
        <v>156</v>
      </c>
      <c r="V291" s="9"/>
    </row>
    <row r="292" spans="1:22" x14ac:dyDescent="0.35">
      <c r="B292" t="s">
        <v>222</v>
      </c>
      <c r="J292" s="9" t="s">
        <v>189</v>
      </c>
      <c r="K292" s="2"/>
      <c r="L292" s="2"/>
      <c r="M292" s="2"/>
      <c r="N292" s="2"/>
      <c r="O292" s="17">
        <v>0</v>
      </c>
      <c r="P292" s="9" t="s">
        <v>155</v>
      </c>
      <c r="Q292" s="2"/>
      <c r="R292" s="9" t="s">
        <v>202</v>
      </c>
      <c r="S292" s="9"/>
      <c r="T292" s="9">
        <v>0.13</v>
      </c>
      <c r="U292" s="9" t="s">
        <v>156</v>
      </c>
      <c r="V292" s="9"/>
    </row>
    <row r="293" spans="1:22" x14ac:dyDescent="0.35">
      <c r="B293" t="s">
        <v>223</v>
      </c>
      <c r="J293" s="9" t="s">
        <v>199</v>
      </c>
      <c r="K293" s="9"/>
      <c r="L293" s="9"/>
      <c r="M293" s="9"/>
      <c r="N293" s="9"/>
      <c r="O293" s="17">
        <v>4.1000000000000002E-2</v>
      </c>
      <c r="P293" s="9" t="s">
        <v>156</v>
      </c>
      <c r="Q293" s="2"/>
      <c r="R293" s="9" t="s">
        <v>203</v>
      </c>
      <c r="S293" s="9"/>
      <c r="T293" s="9">
        <v>0.81</v>
      </c>
      <c r="U293" s="9" t="s">
        <v>156</v>
      </c>
      <c r="V293" s="9"/>
    </row>
    <row r="294" spans="1:22" x14ac:dyDescent="0.35">
      <c r="B294" t="s">
        <v>224</v>
      </c>
      <c r="J294" s="9" t="s">
        <v>208</v>
      </c>
      <c r="K294" s="9"/>
      <c r="L294" s="9"/>
      <c r="M294" s="9"/>
      <c r="N294" s="9"/>
      <c r="O294" s="17" t="e">
        <f>(IF('Apkure (karstais ūdens) un ēkas'!#REF!='Dati apkure'!C290,T292,IF('Apkure (karstais ūdens) un ēkas'!#REF!='Dati apkure'!C291,T291,)))</f>
        <v>#REF!</v>
      </c>
      <c r="P294" s="9" t="s">
        <v>156</v>
      </c>
      <c r="Q294" s="9"/>
      <c r="R294" s="9" t="s">
        <v>398</v>
      </c>
      <c r="S294" s="2"/>
      <c r="T294" s="9">
        <v>0.87</v>
      </c>
      <c r="U294" s="9" t="s">
        <v>156</v>
      </c>
      <c r="V294" s="2"/>
    </row>
    <row r="295" spans="1:22" x14ac:dyDescent="0.35">
      <c r="B295" t="s">
        <v>220</v>
      </c>
      <c r="J295" s="9" t="s">
        <v>193</v>
      </c>
      <c r="K295" s="9"/>
      <c r="L295" s="9"/>
      <c r="M295" s="9"/>
      <c r="N295" s="9"/>
      <c r="O295" s="9" t="e">
        <f>1/(0.13+0.04+O290/O294+O292/O293)</f>
        <v>#REF!</v>
      </c>
      <c r="P295" s="9" t="s">
        <v>194</v>
      </c>
      <c r="Q295" s="9"/>
      <c r="R295" s="9"/>
      <c r="S295" s="9"/>
      <c r="T295" s="9"/>
      <c r="U295" s="9"/>
      <c r="V295" s="9"/>
    </row>
    <row r="296" spans="1:22" x14ac:dyDescent="0.35">
      <c r="J296" s="9" t="s">
        <v>197</v>
      </c>
      <c r="K296" s="2"/>
      <c r="L296" s="2"/>
      <c r="M296" s="2"/>
      <c r="N296" s="2"/>
      <c r="O296" s="2" t="e">
        <f>O295*O291</f>
        <v>#REF!</v>
      </c>
      <c r="P296" s="9" t="s">
        <v>198</v>
      </c>
      <c r="Q296" s="2"/>
      <c r="R296" s="2"/>
      <c r="S296" s="2"/>
      <c r="T296" s="2"/>
      <c r="U296" s="2"/>
      <c r="V296" s="2"/>
    </row>
    <row r="297" spans="1:22" x14ac:dyDescent="0.35">
      <c r="J297" s="9" t="s">
        <v>163</v>
      </c>
      <c r="K297" s="9"/>
      <c r="L297" s="9"/>
      <c r="M297" s="9"/>
      <c r="N297" s="9"/>
      <c r="O297" s="9" t="e">
        <f>O296*203*24/1000*U306</f>
        <v>#REF!</v>
      </c>
      <c r="P297" s="9" t="s">
        <v>209</v>
      </c>
      <c r="Q297" s="9"/>
      <c r="R297" s="2"/>
      <c r="S297" s="2"/>
      <c r="T297" s="2"/>
      <c r="U297" s="2"/>
      <c r="V297" s="2"/>
    </row>
    <row r="298" spans="1:22" x14ac:dyDescent="0.35">
      <c r="J298" s="3" t="s">
        <v>205</v>
      </c>
      <c r="K298" s="9"/>
      <c r="L298" s="9"/>
      <c r="M298" s="9"/>
      <c r="N298" s="9"/>
      <c r="O298" s="9"/>
      <c r="P298" s="9"/>
      <c r="Q298" s="9"/>
      <c r="R298" s="9"/>
      <c r="S298" s="9"/>
      <c r="T298" s="9"/>
      <c r="U298" s="9"/>
      <c r="V298" s="9"/>
    </row>
    <row r="299" spans="1:22" x14ac:dyDescent="0.35">
      <c r="J299" s="9" t="s">
        <v>206</v>
      </c>
      <c r="K299" s="9"/>
      <c r="L299" s="9"/>
      <c r="M299" s="9"/>
      <c r="N299" s="9"/>
      <c r="O299" s="9">
        <v>0.25</v>
      </c>
      <c r="P299" s="9" t="s">
        <v>155</v>
      </c>
      <c r="Q299" s="9"/>
      <c r="R299" s="9" t="s">
        <v>159</v>
      </c>
      <c r="S299" s="9"/>
      <c r="T299" s="9"/>
      <c r="U299" s="9"/>
      <c r="V299" s="9"/>
    </row>
    <row r="300" spans="1:22" x14ac:dyDescent="0.35">
      <c r="J300" s="9" t="s">
        <v>189</v>
      </c>
      <c r="K300" s="9"/>
      <c r="L300" s="9"/>
      <c r="M300" s="9"/>
      <c r="N300" s="9"/>
      <c r="O300" s="17" t="e">
        <f>(IF('Apkure (karstais ūdens) un ēkas'!#REF!='Dati apkure'!B290,0.05,IF('Apkure (karstais ūdens) un ēkas'!#REF!='Dati apkure'!B291,0.1,IF('Apkure (karstais ūdens) un ēkas'!#REF!='Dati apkure'!B292,0.15,IF('Apkure (karstais ūdens) un ēkas'!#REF!='Dati apkure'!B293,0.2,IF('Apkure (karstais ūdens) un ēkas'!#REF!='Dati apkure'!B294,0.25,IF('Apkure (karstais ūdens) un ēkas'!#REF!='Dati apkure'!B295,0.3)))))))</f>
        <v>#REF!</v>
      </c>
      <c r="P300" s="9" t="s">
        <v>155</v>
      </c>
      <c r="Q300" s="9"/>
      <c r="R300" s="9" t="s">
        <v>278</v>
      </c>
      <c r="S300" s="9"/>
      <c r="T300" s="9">
        <v>4.1000000000000002E-2</v>
      </c>
      <c r="U300" s="9" t="s">
        <v>156</v>
      </c>
      <c r="V300" s="9"/>
    </row>
    <row r="301" spans="1:22" x14ac:dyDescent="0.35">
      <c r="J301" s="9" t="s">
        <v>199</v>
      </c>
      <c r="K301" s="9"/>
      <c r="L301" s="9"/>
      <c r="M301" s="9"/>
      <c r="N301" s="9"/>
      <c r="O301" s="17" t="e">
        <f>(IF('Apkure (karstais ūdens) un ēkas'!#REF!='Dati apkure'!B290,T301,IF('Apkure (karstais ūdens) un ēkas'!#REF!='Dati apkure'!B291,T301,IF('Apkure (karstais ūdens) un ēkas'!#REF!='Dati apkure'!B292,T301,IF('Apkure (karstais ūdens) un ēkas'!#REF!='Dati apkure'!B293,T301,IF('Apkure (karstais ūdens) un ēkas'!#REF!='Dati apkure'!B294,T301,IF('Apkure (karstais ūdens) un ēkas'!#REF!='Dati apkure'!B295,T301)))))))</f>
        <v>#REF!</v>
      </c>
      <c r="P301" s="9" t="s">
        <v>156</v>
      </c>
      <c r="Q301" s="9"/>
      <c r="R301" s="2" t="s">
        <v>279</v>
      </c>
      <c r="S301" s="2"/>
      <c r="T301" s="2">
        <v>3.5999999999999997E-2</v>
      </c>
      <c r="U301" s="9" t="s">
        <v>156</v>
      </c>
      <c r="V301" s="2"/>
    </row>
    <row r="302" spans="1:22" x14ac:dyDescent="0.35">
      <c r="J302" s="9" t="s">
        <v>208</v>
      </c>
      <c r="K302" s="9"/>
      <c r="L302" s="9"/>
      <c r="M302" s="9"/>
      <c r="N302" s="9"/>
      <c r="O302" s="17" t="e">
        <f>O294</f>
        <v>#REF!</v>
      </c>
      <c r="P302" s="9" t="s">
        <v>156</v>
      </c>
      <c r="Q302" s="9"/>
      <c r="R302" s="9" t="s">
        <v>162</v>
      </c>
      <c r="S302" s="9"/>
      <c r="T302" s="9">
        <v>3.5999999999999997E-2</v>
      </c>
      <c r="U302" s="9" t="s">
        <v>156</v>
      </c>
      <c r="V302" s="9"/>
    </row>
    <row r="303" spans="1:22" x14ac:dyDescent="0.35">
      <c r="J303" s="9" t="s">
        <v>193</v>
      </c>
      <c r="K303" s="9"/>
      <c r="L303" s="9"/>
      <c r="M303" s="9"/>
      <c r="N303" s="9"/>
      <c r="O303" s="9" t="e">
        <f>1/(0.13+0.04+O299/O302+O300/O301)</f>
        <v>#REF!</v>
      </c>
      <c r="P303" s="9" t="s">
        <v>194</v>
      </c>
      <c r="Q303" s="9"/>
      <c r="R303" s="9" t="s">
        <v>187</v>
      </c>
      <c r="S303" s="9"/>
      <c r="T303" s="9">
        <v>2.7E-2</v>
      </c>
      <c r="U303" s="9" t="s">
        <v>156</v>
      </c>
      <c r="V303" s="9"/>
    </row>
    <row r="304" spans="1:22" x14ac:dyDescent="0.35">
      <c r="J304" s="9" t="s">
        <v>197</v>
      </c>
      <c r="K304" s="2"/>
      <c r="L304" s="2"/>
      <c r="M304" s="2"/>
      <c r="N304" s="2"/>
      <c r="O304" s="2" t="e">
        <f>O303*O291</f>
        <v>#REF!</v>
      </c>
      <c r="P304" s="9" t="s">
        <v>198</v>
      </c>
      <c r="Q304" s="2"/>
      <c r="R304" s="9" t="s">
        <v>170</v>
      </c>
      <c r="S304" s="9"/>
      <c r="T304" s="9"/>
      <c r="U304" s="38">
        <v>18</v>
      </c>
      <c r="V304" s="9" t="s">
        <v>143</v>
      </c>
    </row>
    <row r="305" spans="1:22" x14ac:dyDescent="0.35">
      <c r="J305" s="9" t="s">
        <v>163</v>
      </c>
      <c r="K305" s="9"/>
      <c r="L305" s="9"/>
      <c r="M305" s="9"/>
      <c r="N305" s="9"/>
      <c r="O305" s="9" t="e">
        <f>O304*203*24/1000*U306</f>
        <v>#REF!</v>
      </c>
      <c r="P305" s="9" t="s">
        <v>209</v>
      </c>
      <c r="Q305" s="9"/>
      <c r="R305" s="9" t="s">
        <v>286</v>
      </c>
      <c r="S305" s="9"/>
      <c r="T305" s="9"/>
      <c r="U305" s="38">
        <v>0</v>
      </c>
      <c r="V305" s="9" t="s">
        <v>143</v>
      </c>
    </row>
    <row r="306" spans="1:22" x14ac:dyDescent="0.35">
      <c r="J306" s="3" t="s">
        <v>168</v>
      </c>
      <c r="K306" s="9"/>
      <c r="L306" s="9"/>
      <c r="M306" s="9"/>
      <c r="N306" s="9"/>
      <c r="O306" s="18" t="e">
        <f>O297-O305</f>
        <v>#REF!</v>
      </c>
      <c r="P306" s="9" t="s">
        <v>209</v>
      </c>
      <c r="Q306" s="9"/>
      <c r="R306" s="9" t="s">
        <v>171</v>
      </c>
      <c r="S306" s="9"/>
      <c r="T306" s="9"/>
      <c r="U306" s="9">
        <f>U304-U305</f>
        <v>18</v>
      </c>
      <c r="V306" s="9" t="s">
        <v>143</v>
      </c>
    </row>
    <row r="308" spans="1:22" x14ac:dyDescent="0.35">
      <c r="A308" s="2" t="s">
        <v>228</v>
      </c>
      <c r="B308">
        <v>5</v>
      </c>
      <c r="C308" t="s">
        <v>405</v>
      </c>
      <c r="J308" s="3" t="s">
        <v>204</v>
      </c>
      <c r="K308" s="9"/>
      <c r="L308" s="9"/>
      <c r="M308" s="9"/>
      <c r="N308" s="9"/>
      <c r="O308" s="9"/>
      <c r="P308" s="9"/>
      <c r="Q308" s="9"/>
      <c r="R308" s="9"/>
      <c r="S308" s="9"/>
      <c r="T308" s="9"/>
      <c r="U308" s="9"/>
      <c r="V308" s="9"/>
    </row>
    <row r="309" spans="1:22" x14ac:dyDescent="0.35">
      <c r="B309" t="s">
        <v>235</v>
      </c>
      <c r="C309" t="s">
        <v>234</v>
      </c>
      <c r="J309" s="9" t="s">
        <v>206</v>
      </c>
      <c r="K309" s="9"/>
      <c r="L309" s="9"/>
      <c r="M309" s="9"/>
      <c r="N309" s="9"/>
      <c r="O309" s="9">
        <v>0.25</v>
      </c>
      <c r="P309" s="9" t="s">
        <v>155</v>
      </c>
      <c r="Q309" s="9"/>
      <c r="R309" s="9" t="s">
        <v>159</v>
      </c>
      <c r="S309" s="9"/>
      <c r="T309" s="9"/>
      <c r="U309" s="9"/>
      <c r="V309" s="9"/>
    </row>
    <row r="310" spans="1:22" x14ac:dyDescent="0.35">
      <c r="B310" t="s">
        <v>404</v>
      </c>
      <c r="C310" t="s">
        <v>237</v>
      </c>
      <c r="J310" s="9" t="s">
        <v>207</v>
      </c>
      <c r="K310" s="9"/>
      <c r="L310" s="9"/>
      <c r="M310" s="9"/>
      <c r="N310" s="9"/>
      <c r="O310" s="9">
        <v>1</v>
      </c>
      <c r="P310" s="9" t="s">
        <v>196</v>
      </c>
      <c r="Q310" s="9"/>
      <c r="R310" s="9" t="s">
        <v>201</v>
      </c>
      <c r="S310" s="9"/>
      <c r="T310" s="9">
        <v>2</v>
      </c>
      <c r="U310" s="9" t="s">
        <v>156</v>
      </c>
      <c r="V310" s="9"/>
    </row>
    <row r="311" spans="1:22" x14ac:dyDescent="0.35">
      <c r="B311" t="s">
        <v>236</v>
      </c>
      <c r="C311" t="s">
        <v>397</v>
      </c>
      <c r="J311" s="9" t="s">
        <v>189</v>
      </c>
      <c r="K311" s="2"/>
      <c r="L311" s="2"/>
      <c r="M311" s="2"/>
      <c r="N311" s="2"/>
      <c r="O311" s="17">
        <v>0</v>
      </c>
      <c r="P311" s="9" t="s">
        <v>155</v>
      </c>
      <c r="Q311" s="2"/>
      <c r="R311" s="9" t="s">
        <v>202</v>
      </c>
      <c r="S311" s="9"/>
      <c r="T311" s="9">
        <v>0.13</v>
      </c>
      <c r="U311" s="9" t="s">
        <v>156</v>
      </c>
      <c r="V311" s="9"/>
    </row>
    <row r="312" spans="1:22" x14ac:dyDescent="0.35">
      <c r="J312" s="9" t="s">
        <v>199</v>
      </c>
      <c r="K312" s="9"/>
      <c r="L312" s="9"/>
      <c r="M312" s="9"/>
      <c r="N312" s="9"/>
      <c r="O312" s="17">
        <v>4.1000000000000002E-2</v>
      </c>
      <c r="P312" s="9" t="s">
        <v>156</v>
      </c>
      <c r="Q312" s="2"/>
      <c r="R312" s="9" t="s">
        <v>203</v>
      </c>
      <c r="S312" s="9"/>
      <c r="T312" s="9">
        <v>0.81</v>
      </c>
      <c r="U312" s="9" t="s">
        <v>156</v>
      </c>
      <c r="V312" s="9"/>
    </row>
    <row r="313" spans="1:22" x14ac:dyDescent="0.35">
      <c r="J313" s="9" t="s">
        <v>208</v>
      </c>
      <c r="K313" s="9"/>
      <c r="L313" s="9"/>
      <c r="M313" s="9"/>
      <c r="N313" s="9"/>
      <c r="O313" s="17" t="e">
        <f>(IF('Apkure (karstais ūdens) un ēkas'!#REF!='Dati apkure'!C309,T311,IF('Apkure (karstais ūdens) un ēkas'!#REF!='Dati apkure'!C310,T310,IF('Apkure (karstais ūdens) un ēkas'!#REF!='Dati apkure'!C311,T313))))</f>
        <v>#REF!</v>
      </c>
      <c r="P313" s="9" t="s">
        <v>156</v>
      </c>
      <c r="Q313" s="9"/>
      <c r="R313" s="9" t="s">
        <v>398</v>
      </c>
      <c r="S313" s="2"/>
      <c r="T313" s="9">
        <v>0.87</v>
      </c>
      <c r="U313" s="9" t="s">
        <v>156</v>
      </c>
      <c r="V313" s="2"/>
    </row>
    <row r="314" spans="1:22" x14ac:dyDescent="0.35">
      <c r="J314" s="9" t="s">
        <v>193</v>
      </c>
      <c r="K314" s="9"/>
      <c r="L314" s="9"/>
      <c r="M314" s="9"/>
      <c r="N314" s="9"/>
      <c r="O314" s="9" t="e">
        <f>1/(0.13+0.04+O309/O313+O311/O312)</f>
        <v>#REF!</v>
      </c>
      <c r="P314" s="9" t="s">
        <v>194</v>
      </c>
      <c r="Q314" s="9"/>
      <c r="R314" s="9"/>
      <c r="S314" s="9"/>
      <c r="T314" s="9"/>
      <c r="U314" s="9"/>
      <c r="V314" s="9"/>
    </row>
    <row r="315" spans="1:22" x14ac:dyDescent="0.35">
      <c r="J315" s="9" t="s">
        <v>197</v>
      </c>
      <c r="K315" s="2"/>
      <c r="L315" s="2"/>
      <c r="M315" s="2"/>
      <c r="N315" s="2"/>
      <c r="O315" s="2" t="e">
        <f>O314*O310</f>
        <v>#REF!</v>
      </c>
      <c r="P315" s="9" t="s">
        <v>198</v>
      </c>
      <c r="Q315" s="2"/>
      <c r="R315" s="2"/>
      <c r="S315" s="2"/>
      <c r="T315" s="2"/>
      <c r="U315" s="2"/>
      <c r="V315" s="2"/>
    </row>
    <row r="316" spans="1:22" x14ac:dyDescent="0.35">
      <c r="J316" s="9" t="s">
        <v>163</v>
      </c>
      <c r="K316" s="9"/>
      <c r="L316" s="9"/>
      <c r="M316" s="9"/>
      <c r="N316" s="9"/>
      <c r="O316" s="9" t="e">
        <f>O315*203*24/1000*U325</f>
        <v>#REF!</v>
      </c>
      <c r="P316" s="9" t="s">
        <v>209</v>
      </c>
      <c r="Q316" s="9"/>
      <c r="R316" s="2"/>
      <c r="S316" s="2"/>
      <c r="T316" s="2"/>
      <c r="U316" s="2"/>
      <c r="V316" s="2"/>
    </row>
    <row r="317" spans="1:22" x14ac:dyDescent="0.35">
      <c r="J317" s="3" t="s">
        <v>205</v>
      </c>
      <c r="K317" s="9"/>
      <c r="L317" s="9"/>
      <c r="M317" s="9"/>
      <c r="N317" s="9"/>
      <c r="O317" s="9"/>
      <c r="P317" s="9"/>
      <c r="Q317" s="9"/>
      <c r="R317" s="9"/>
      <c r="S317" s="9"/>
      <c r="T317" s="9"/>
      <c r="U317" s="9"/>
      <c r="V317" s="9"/>
    </row>
    <row r="318" spans="1:22" x14ac:dyDescent="0.35">
      <c r="J318" s="9" t="s">
        <v>206</v>
      </c>
      <c r="K318" s="9"/>
      <c r="L318" s="9"/>
      <c r="M318" s="9"/>
      <c r="N318" s="9"/>
      <c r="O318" s="9">
        <v>0.25</v>
      </c>
      <c r="P318" s="9" t="s">
        <v>155</v>
      </c>
      <c r="Q318" s="9"/>
      <c r="R318" s="9" t="s">
        <v>159</v>
      </c>
      <c r="S318" s="9"/>
      <c r="T318" s="9"/>
      <c r="U318" s="9"/>
      <c r="V318" s="9"/>
    </row>
    <row r="319" spans="1:22" x14ac:dyDescent="0.35">
      <c r="J319" s="9" t="s">
        <v>189</v>
      </c>
      <c r="K319" s="9"/>
      <c r="L319" s="9"/>
      <c r="M319" s="9"/>
      <c r="N319" s="9"/>
      <c r="O319" s="17" t="e">
        <f>(IF('Apkure (karstais ūdens) un ēkas'!#REF!='Dati apkure'!B309,0.1,IF('Apkure (karstais ūdens) un ēkas'!#REF!='Dati apkure'!B310,0.15,IF('Apkure (karstais ūdens) un ēkas'!#REF!='Dati apkure'!B311,0.2))))</f>
        <v>#REF!</v>
      </c>
      <c r="P319" s="9" t="s">
        <v>155</v>
      </c>
      <c r="Q319" s="9"/>
      <c r="R319" s="9" t="s">
        <v>278</v>
      </c>
      <c r="S319" s="9"/>
      <c r="T319" s="9">
        <v>4.1000000000000002E-2</v>
      </c>
      <c r="U319" s="9" t="s">
        <v>156</v>
      </c>
      <c r="V319" s="9"/>
    </row>
    <row r="320" spans="1:22" x14ac:dyDescent="0.35">
      <c r="J320" s="9" t="s">
        <v>199</v>
      </c>
      <c r="K320" s="9"/>
      <c r="L320" s="9"/>
      <c r="M320" s="9"/>
      <c r="N320" s="9"/>
      <c r="O320" s="17" t="e">
        <f>(IF('Apkure (karstais ūdens) un ēkas'!#REF!='Dati apkure'!B309,T320,IF('Apkure (karstais ūdens) un ēkas'!#REF!='Dati apkure'!B310,T320,IF('Apkure (karstais ūdens) un ēkas'!#REF!='Dati apkure'!B311,T320))))</f>
        <v>#REF!</v>
      </c>
      <c r="P320" s="9" t="s">
        <v>156</v>
      </c>
      <c r="Q320" s="9"/>
      <c r="R320" s="2" t="s">
        <v>279</v>
      </c>
      <c r="S320" s="2"/>
      <c r="T320" s="2">
        <v>3.5999999999999997E-2</v>
      </c>
      <c r="U320" s="9" t="s">
        <v>156</v>
      </c>
      <c r="V320" s="2"/>
    </row>
    <row r="321" spans="1:22" x14ac:dyDescent="0.35">
      <c r="J321" s="9" t="s">
        <v>208</v>
      </c>
      <c r="K321" s="9"/>
      <c r="L321" s="9"/>
      <c r="M321" s="9"/>
      <c r="N321" s="9"/>
      <c r="O321" s="17" t="e">
        <f>O313</f>
        <v>#REF!</v>
      </c>
      <c r="P321" s="9" t="s">
        <v>156</v>
      </c>
      <c r="Q321" s="9"/>
      <c r="R321" s="9" t="s">
        <v>162</v>
      </c>
      <c r="S321" s="9"/>
      <c r="T321" s="9">
        <v>3.5999999999999997E-2</v>
      </c>
      <c r="U321" s="9" t="s">
        <v>156</v>
      </c>
      <c r="V321" s="9"/>
    </row>
    <row r="322" spans="1:22" x14ac:dyDescent="0.35">
      <c r="J322" s="9" t="s">
        <v>193</v>
      </c>
      <c r="K322" s="9"/>
      <c r="L322" s="9"/>
      <c r="M322" s="9"/>
      <c r="N322" s="9"/>
      <c r="O322" s="9" t="e">
        <f>1/(0.13+0.04+O318/O321+O319/O320)</f>
        <v>#REF!</v>
      </c>
      <c r="P322" s="9" t="s">
        <v>194</v>
      </c>
      <c r="Q322" s="9"/>
      <c r="R322" s="9" t="s">
        <v>187</v>
      </c>
      <c r="S322" s="9"/>
      <c r="T322" s="9">
        <v>2.7E-2</v>
      </c>
      <c r="U322" s="9" t="s">
        <v>156</v>
      </c>
      <c r="V322" s="9"/>
    </row>
    <row r="323" spans="1:22" x14ac:dyDescent="0.35">
      <c r="J323" s="9" t="s">
        <v>197</v>
      </c>
      <c r="K323" s="2"/>
      <c r="L323" s="2"/>
      <c r="M323" s="2"/>
      <c r="N323" s="2"/>
      <c r="O323" s="2" t="e">
        <f>O322*O310</f>
        <v>#REF!</v>
      </c>
      <c r="P323" s="9" t="s">
        <v>198</v>
      </c>
      <c r="Q323" s="2"/>
      <c r="R323" s="9" t="s">
        <v>170</v>
      </c>
      <c r="S323" s="9"/>
      <c r="T323" s="9"/>
      <c r="U323" s="35">
        <v>18</v>
      </c>
      <c r="V323" s="9" t="s">
        <v>143</v>
      </c>
    </row>
    <row r="324" spans="1:22" x14ac:dyDescent="0.35">
      <c r="J324" s="9" t="s">
        <v>163</v>
      </c>
      <c r="K324" s="9"/>
      <c r="L324" s="9"/>
      <c r="M324" s="9"/>
      <c r="N324" s="9"/>
      <c r="O324" s="9" t="e">
        <f>O323*203*24/1000*U325</f>
        <v>#REF!</v>
      </c>
      <c r="P324" s="9" t="s">
        <v>209</v>
      </c>
      <c r="Q324" s="9"/>
      <c r="R324" s="9" t="s">
        <v>286</v>
      </c>
      <c r="S324" s="9"/>
      <c r="T324" s="9"/>
      <c r="U324" s="35">
        <v>0</v>
      </c>
      <c r="V324" s="9" t="s">
        <v>143</v>
      </c>
    </row>
    <row r="325" spans="1:22" x14ac:dyDescent="0.35">
      <c r="J325" s="3" t="s">
        <v>168</v>
      </c>
      <c r="K325" s="9"/>
      <c r="L325" s="9"/>
      <c r="M325" s="9"/>
      <c r="N325" s="9"/>
      <c r="O325" s="18" t="e">
        <f>O316-O324</f>
        <v>#REF!</v>
      </c>
      <c r="P325" s="9" t="s">
        <v>209</v>
      </c>
      <c r="Q325" s="9"/>
      <c r="R325" s="9" t="s">
        <v>171</v>
      </c>
      <c r="S325" s="9"/>
      <c r="T325" s="9"/>
      <c r="U325" s="9">
        <f>U323-U324</f>
        <v>18</v>
      </c>
      <c r="V325" s="9" t="s">
        <v>143</v>
      </c>
    </row>
    <row r="327" spans="1:22" x14ac:dyDescent="0.35">
      <c r="A327" s="2" t="s">
        <v>105</v>
      </c>
      <c r="J327" s="2" t="e">
        <f>(IF('Apkure (karstais ūdens) un ēkas'!#REF!='Dati apkure'!B64,A328,IF('Apkure (karstais ūdens) un ēkas'!#REF!='Dati apkure'!B65,A329,IF('Apkure (karstais ūdens) un ēkas'!#REF!='Dati apkure'!B66,A330,IF('Apkure (karstais ūdens) un ēkas'!#REF!='Dati apkure'!B67,A331)))))</f>
        <v>#REF!</v>
      </c>
    </row>
    <row r="328" spans="1:22" x14ac:dyDescent="0.35">
      <c r="A328">
        <v>1.1000000000000001</v>
      </c>
    </row>
    <row r="329" spans="1:22" x14ac:dyDescent="0.35">
      <c r="A329">
        <v>1.0449999999999999</v>
      </c>
    </row>
    <row r="330" spans="1:22" x14ac:dyDescent="0.35">
      <c r="A330">
        <v>0.99</v>
      </c>
    </row>
    <row r="331" spans="1:22" x14ac:dyDescent="0.35">
      <c r="A331">
        <v>0.97</v>
      </c>
    </row>
    <row r="333" spans="1:22" x14ac:dyDescent="0.35">
      <c r="A333" s="2" t="s">
        <v>106</v>
      </c>
      <c r="J333" s="2" t="e">
        <f>(IF('Apkure (karstais ūdens) un ēkas'!#REF!='Dati apkure'!B70,A334,IF('Apkure (karstais ūdens) un ēkas'!#REF!='Dati apkure'!B71,A335,IF('Apkure (karstais ūdens) un ēkas'!#REF!='Dati apkure'!B72,A336,IF('Apkure (karstais ūdens) un ēkas'!#REF!='Dati apkure'!B73,A337)))))</f>
        <v>#REF!</v>
      </c>
    </row>
    <row r="334" spans="1:22" x14ac:dyDescent="0.35">
      <c r="A334">
        <v>1.1000000000000001</v>
      </c>
    </row>
    <row r="335" spans="1:22" x14ac:dyDescent="0.35">
      <c r="A335">
        <v>1.0449999999999999</v>
      </c>
    </row>
    <row r="336" spans="1:22" x14ac:dyDescent="0.35">
      <c r="A336">
        <v>0.99</v>
      </c>
    </row>
    <row r="337" spans="1:14" x14ac:dyDescent="0.35">
      <c r="A337">
        <v>0.97</v>
      </c>
    </row>
    <row r="339" spans="1:14" x14ac:dyDescent="0.35">
      <c r="A339" s="2" t="s">
        <v>107</v>
      </c>
      <c r="B339">
        <v>1</v>
      </c>
      <c r="C339">
        <v>2</v>
      </c>
      <c r="J339" s="9" t="s">
        <v>281</v>
      </c>
      <c r="K339" s="10" t="s">
        <v>282</v>
      </c>
      <c r="L339" s="10" t="s">
        <v>285</v>
      </c>
      <c r="M339" s="9"/>
      <c r="N339" s="9"/>
    </row>
    <row r="340" spans="1:14" x14ac:dyDescent="0.35">
      <c r="B340" t="s">
        <v>409</v>
      </c>
      <c r="C340" t="s">
        <v>312</v>
      </c>
      <c r="J340" s="9" t="e">
        <f>(IF('Apkure (karstais ūdens) un ēkas'!#REF!=B340,5,IF('Apkure (karstais ūdens) un ēkas'!#REF!='Dati apkure'!B341,3,IF('Apkure (karstais ūdens) un ēkas'!#REF!='Dati apkure'!B342,2.7))))</f>
        <v>#REF!</v>
      </c>
      <c r="K340" s="9" t="e">
        <f>(IF('Apkure (karstais ūdens) un ēkas'!#REF!='Dati apkure'!C340,0.9,IF('Apkure (karstais ūdens) un ēkas'!#REF!='Dati apkure'!C341,1.3)))</f>
        <v>#REF!</v>
      </c>
      <c r="L340" s="20" t="e">
        <f>(J340-K340)*(M341-N341)*203*24/1000</f>
        <v>#REF!</v>
      </c>
      <c r="M340" s="9" t="s">
        <v>283</v>
      </c>
      <c r="N340" s="9" t="s">
        <v>284</v>
      </c>
    </row>
    <row r="341" spans="1:14" x14ac:dyDescent="0.35">
      <c r="B341" t="s">
        <v>287</v>
      </c>
      <c r="C341" t="s">
        <v>311</v>
      </c>
      <c r="J341" s="9"/>
      <c r="K341" s="9"/>
      <c r="L341" s="20"/>
      <c r="M341" s="9">
        <v>16</v>
      </c>
      <c r="N341" s="10">
        <v>0</v>
      </c>
    </row>
    <row r="342" spans="1:14" x14ac:dyDescent="0.35">
      <c r="B342" t="s">
        <v>288</v>
      </c>
      <c r="J342" s="9"/>
      <c r="K342" s="9"/>
      <c r="L342" s="20"/>
      <c r="M342" s="9"/>
      <c r="N342" s="9"/>
    </row>
    <row r="343" spans="1:14" x14ac:dyDescent="0.35">
      <c r="A343" t="s">
        <v>246</v>
      </c>
      <c r="J343" s="9" t="s">
        <v>281</v>
      </c>
      <c r="K343" s="10" t="s">
        <v>282</v>
      </c>
      <c r="L343" s="10" t="s">
        <v>285</v>
      </c>
      <c r="M343" s="9"/>
      <c r="N343" s="9"/>
    </row>
    <row r="344" spans="1:14" x14ac:dyDescent="0.35">
      <c r="J344" s="9" t="e">
        <f>(IF('Apkure (karstais ūdens) un ēkas'!#REF!=B340,5,(IF('Apkure (karstais ūdens) un ēkas'!#REF!='Dati apkure'!B341,3,IF('Apkure (karstais ūdens) un ēkas'!#REF!='Dati apkure'!B342,2.7)))))</f>
        <v>#REF!</v>
      </c>
      <c r="K344" s="9" t="e">
        <f>(IF('Apkure (karstais ūdens) un ēkas'!#REF!='Dati apkure'!C340,0.9,IF('Apkure (karstais ūdens) un ēkas'!#REF!='Dati apkure'!C341,1.3)))</f>
        <v>#REF!</v>
      </c>
      <c r="L344" s="20" t="e">
        <f>(J344-K344)*(M345-N345)*203*24/1000</f>
        <v>#REF!</v>
      </c>
      <c r="M344" s="9" t="s">
        <v>283</v>
      </c>
      <c r="N344" s="9" t="s">
        <v>284</v>
      </c>
    </row>
    <row r="345" spans="1:14" x14ac:dyDescent="0.35">
      <c r="J345" s="9"/>
      <c r="K345" s="9"/>
      <c r="L345" s="20"/>
      <c r="M345" s="9">
        <v>18</v>
      </c>
      <c r="N345" s="10">
        <v>0</v>
      </c>
    </row>
    <row r="347" spans="1:14" x14ac:dyDescent="0.35">
      <c r="A347" s="2" t="s">
        <v>247</v>
      </c>
      <c r="B347">
        <v>1</v>
      </c>
      <c r="C347">
        <v>2</v>
      </c>
      <c r="J347" s="9" t="s">
        <v>281</v>
      </c>
      <c r="K347" s="10" t="s">
        <v>282</v>
      </c>
      <c r="L347" s="10" t="s">
        <v>285</v>
      </c>
      <c r="M347" s="9"/>
      <c r="N347" s="9"/>
    </row>
    <row r="348" spans="1:14" x14ac:dyDescent="0.35">
      <c r="B348" t="s">
        <v>289</v>
      </c>
      <c r="C348" t="s">
        <v>291</v>
      </c>
      <c r="J348" s="9" t="e">
        <f>(IF('Apkure (karstais ūdens) un ēkas'!#REF!='Dati apkure'!B348,3,IF('Apkure (karstais ūdens) un ēkas'!#REF!='Dati apkure'!B349,5)))</f>
        <v>#REF!</v>
      </c>
      <c r="K348" s="9" t="e">
        <f>(IF('Apkure (karstais ūdens) un ēkas'!#REF!='Dati apkure'!C348,1.3,IF('Apkure (karstais ūdens) un ēkas'!#REF!='Dati apkure'!C349,3)))</f>
        <v>#REF!</v>
      </c>
      <c r="L348" s="20" t="e">
        <f>(J348-K348)*(M349-N349)*203*24/1000</f>
        <v>#REF!</v>
      </c>
      <c r="M348" s="9" t="s">
        <v>283</v>
      </c>
      <c r="N348" s="9" t="s">
        <v>284</v>
      </c>
    </row>
    <row r="349" spans="1:14" x14ac:dyDescent="0.35">
      <c r="B349" t="s">
        <v>290</v>
      </c>
      <c r="C349" t="s">
        <v>292</v>
      </c>
      <c r="J349" s="9"/>
      <c r="K349" s="9"/>
      <c r="L349" s="20"/>
      <c r="M349" s="9">
        <v>18</v>
      </c>
      <c r="N349" s="10">
        <v>0</v>
      </c>
    </row>
    <row r="351" spans="1:14" x14ac:dyDescent="0.35">
      <c r="A351" s="2" t="s">
        <v>248</v>
      </c>
      <c r="C351">
        <v>3</v>
      </c>
    </row>
    <row r="352" spans="1:14" x14ac:dyDescent="0.35">
      <c r="C352" t="s">
        <v>293</v>
      </c>
      <c r="J352" s="9" t="s">
        <v>281</v>
      </c>
      <c r="K352" s="10" t="s">
        <v>282</v>
      </c>
      <c r="L352" s="10" t="s">
        <v>285</v>
      </c>
      <c r="M352" s="9"/>
      <c r="N352" s="9"/>
    </row>
    <row r="353" spans="3:14" x14ac:dyDescent="0.35">
      <c r="C353" t="s">
        <v>294</v>
      </c>
      <c r="J353" s="9">
        <v>2.7</v>
      </c>
      <c r="K353" s="9" t="e">
        <f>(IF('Apkure (karstais ūdens) un ēkas'!#REF!='Dati apkure'!C352,1.3,IF('Apkure (karstais ūdens) un ēkas'!#REF!='Dati apkure'!C353,1)))</f>
        <v>#REF!</v>
      </c>
      <c r="L353" s="20" t="e">
        <f>(J353-K353)*(M354-N354)*203*24/1000</f>
        <v>#REF!</v>
      </c>
      <c r="M353" s="9" t="s">
        <v>283</v>
      </c>
      <c r="N353" s="9" t="s">
        <v>284</v>
      </c>
    </row>
    <row r="354" spans="3:14" x14ac:dyDescent="0.35">
      <c r="J354" s="9"/>
      <c r="K354" s="9"/>
      <c r="L354" s="20"/>
      <c r="M354" s="9">
        <v>18</v>
      </c>
      <c r="N354" s="10">
        <v>0</v>
      </c>
    </row>
  </sheetData>
  <sheetProtection password="DCC6"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109</vt:i4>
      </vt:variant>
    </vt:vector>
  </HeadingPairs>
  <TitlesOfParts>
    <vt:vector size="122" baseType="lpstr">
      <vt:lpstr>LIETOŠANA</vt:lpstr>
      <vt:lpstr>Apgaismojums</vt:lpstr>
      <vt:lpstr>Apkure (karstais ūdens) un ēkas</vt:lpstr>
      <vt:lpstr>Iekārtas</vt:lpstr>
      <vt:lpstr>Info pasākumi, monitorings</vt:lpstr>
      <vt:lpstr>Transports, ekobraukšana</vt:lpstr>
      <vt:lpstr>Ventilācija</vt:lpstr>
      <vt:lpstr>Automobiļi</vt:lpstr>
      <vt:lpstr>Dati apkure</vt:lpstr>
      <vt:lpstr>Dati karstais</vt:lpstr>
      <vt:lpstr>Dati ventilacija</vt:lpstr>
      <vt:lpstr>Dati apgaismojums</vt:lpstr>
      <vt:lpstr>Dati iekārtas</vt:lpstr>
      <vt:lpstr>'Apkure (karstais ūdens) un ēkas'!_Ref475094488</vt:lpstr>
      <vt:lpstr>'Apkure (karstais ūdens) un ēkas'!_Toc421707928</vt:lpstr>
      <vt:lpstr>Iekārtas!_Toc423683921</vt:lpstr>
      <vt:lpstr>'Apkure (karstais ūdens) un ēkas'!_Toc435540779</vt:lpstr>
      <vt:lpstr>Apgaismojums!_Toc435540791</vt:lpstr>
      <vt:lpstr>Apgaismojums!_Toc435540795</vt:lpstr>
      <vt:lpstr>Apgaismojums!_Toc435540799</vt:lpstr>
      <vt:lpstr>'Apkure (karstais ūdens) un ēkas'!_Toc435540814</vt:lpstr>
      <vt:lpstr>'Apkure (karstais ūdens) un ēkas'!_Toc475099980</vt:lpstr>
      <vt:lpstr>Iekārtas!_Toc475099987</vt:lpstr>
      <vt:lpstr>Iekārtas!_Toc475099988</vt:lpstr>
      <vt:lpstr>Iekārtas!_Toc475100012</vt:lpstr>
      <vt:lpstr>Iekārtas!_Toc475100015</vt:lpstr>
      <vt:lpstr>'Apkure (karstais ūdens) un ēkas'!_Toc475100022</vt:lpstr>
      <vt:lpstr>'Apkure (karstais ūdens) un ēkas'!_Toc475100028</vt:lpstr>
      <vt:lpstr>Iekārtas!_Toc475100038</vt:lpstr>
      <vt:lpstr>Apgaismojums!_Toc475100045</vt:lpstr>
      <vt:lpstr>Apgaismojums!_Toc475100051</vt:lpstr>
      <vt:lpstr>'Transports, ekobraukšana'!_Toc475100064</vt:lpstr>
      <vt:lpstr>'Apkure (karstais ūdens) un ēkas'!_Toc475100068</vt:lpstr>
      <vt:lpstr>'Apkure (karstais ūdens) un ēkas'!_Toc475100074</vt:lpstr>
      <vt:lpstr>Dazadi</vt:lpstr>
      <vt:lpstr>Durvis1</vt:lpstr>
      <vt:lpstr>Durvis2</vt:lpstr>
      <vt:lpstr>Gaismeklisbez</vt:lpstr>
      <vt:lpstr>'Dati apgaismojums'!Karstais1</vt:lpstr>
      <vt:lpstr>'Dati iekārtas'!Karstais1</vt:lpstr>
      <vt:lpstr>'Dati ventilacija'!Karstais1</vt:lpstr>
      <vt:lpstr>Karstais1</vt:lpstr>
      <vt:lpstr>'Dati apgaismojums'!Karstais2</vt:lpstr>
      <vt:lpstr>'Dati iekārtas'!Karstais2</vt:lpstr>
      <vt:lpstr>'Dati ventilacija'!Karstais2</vt:lpstr>
      <vt:lpstr>Karstais2</vt:lpstr>
      <vt:lpstr>Karstaismaterials</vt:lpstr>
      <vt:lpstr>'Dati apgaismojums'!Karstaistilpums</vt:lpstr>
      <vt:lpstr>'Dati iekārtas'!Karstaistilpums</vt:lpstr>
      <vt:lpstr>'Dati ventilacija'!Karstaistilpums</vt:lpstr>
      <vt:lpstr>Karstaistilpums</vt:lpstr>
      <vt:lpstr>Klasepec</vt:lpstr>
      <vt:lpstr>Klasepec1</vt:lpstr>
      <vt:lpstr>Klasepec2</vt:lpstr>
      <vt:lpstr>Klasepirms</vt:lpstr>
      <vt:lpstr>Klasepirms1</vt:lpstr>
      <vt:lpstr>Klasepirms2</vt:lpstr>
      <vt:lpstr>'Dati karstais'!kWhapk</vt:lpstr>
      <vt:lpstr>'Dati ventilacija'!kWhapk</vt:lpstr>
      <vt:lpstr>kWhapk</vt:lpstr>
      <vt:lpstr>Logi1</vt:lpstr>
      <vt:lpstr>Logi2</vt:lpstr>
      <vt:lpstr>Logi3</vt:lpstr>
      <vt:lpstr>Parsegumsapk</vt:lpstr>
      <vt:lpstr>Parsegumsapk1</vt:lpstr>
      <vt:lpstr>Parsegumsapk2</vt:lpstr>
      <vt:lpstr>'Dati apgaismojums'!Pecapk</vt:lpstr>
      <vt:lpstr>'Dati iekārtas'!Pecapk</vt:lpstr>
      <vt:lpstr>'Dati karstais'!Pecapk</vt:lpstr>
      <vt:lpstr>'Dati ventilacija'!Pecapk</vt:lpstr>
      <vt:lpstr>Pecapk</vt:lpstr>
      <vt:lpstr>'Dati karstais'!Pecapk1</vt:lpstr>
      <vt:lpstr>'Dati ventilacija'!Pecapk1</vt:lpstr>
      <vt:lpstr>Pecapk1</vt:lpstr>
      <vt:lpstr>'Dati karstais'!Pecapk2</vt:lpstr>
      <vt:lpstr>Pecapk2</vt:lpstr>
      <vt:lpstr>'Dati apgaismojums'!Pirmsapk</vt:lpstr>
      <vt:lpstr>'Dati iekārtas'!Pirmsapk</vt:lpstr>
      <vt:lpstr>'Dati karstais'!Pirmsapk</vt:lpstr>
      <vt:lpstr>'Dati ventilacija'!Pirmsapk</vt:lpstr>
      <vt:lpstr>Pirmsapk</vt:lpstr>
      <vt:lpstr>'Dati karstais'!Pirmsapk1</vt:lpstr>
      <vt:lpstr>'Dati ventilacija'!Pirmsapk1</vt:lpstr>
      <vt:lpstr>Pirmsapk1</vt:lpstr>
      <vt:lpstr>'Dati karstais'!Pirmsapk2</vt:lpstr>
      <vt:lpstr>Pirmsapk2</vt:lpstr>
      <vt:lpstr>'Dati karstais'!Platibaapk</vt:lpstr>
      <vt:lpstr>'Dati ventilacija'!Platibaapk</vt:lpstr>
      <vt:lpstr>Platibaapk</vt:lpstr>
      <vt:lpstr>'Dati apgaismojums'!Platibaventil</vt:lpstr>
      <vt:lpstr>'Dati iekārtas'!Platibaventil</vt:lpstr>
      <vt:lpstr>Platibaventil</vt:lpstr>
      <vt:lpstr>Sienas</vt:lpstr>
      <vt:lpstr>Siltinaapk1</vt:lpstr>
      <vt:lpstr>Siltinaapk2</vt:lpstr>
      <vt:lpstr>Siltinaapk3</vt:lpstr>
      <vt:lpstr>Siltinaapk4</vt:lpstr>
      <vt:lpstr>Siltinaapk5</vt:lpstr>
      <vt:lpstr>Siltinapk</vt:lpstr>
      <vt:lpstr>'Dati karstais'!Sistemaapk</vt:lpstr>
      <vt:lpstr>Sistemaapk</vt:lpstr>
      <vt:lpstr>'Dati iekārtas'!Stundas</vt:lpstr>
      <vt:lpstr>Stundas</vt:lpstr>
      <vt:lpstr>'Dati apgaismojums'!Tilpumsapk</vt:lpstr>
      <vt:lpstr>'Dati iekārtas'!Tilpumsapk</vt:lpstr>
      <vt:lpstr>'Dati karstais'!Tilpumsapk</vt:lpstr>
      <vt:lpstr>'Dati ventilacija'!Tilpumsapk</vt:lpstr>
      <vt:lpstr>Tilpumsapk</vt:lpstr>
      <vt:lpstr>'Dati apgaismojums'!Tvertnesapkure1</vt:lpstr>
      <vt:lpstr>'Dati iekārtas'!Tvertnesapkure1</vt:lpstr>
      <vt:lpstr>'Dati karstais'!Tvertnesapkure1</vt:lpstr>
      <vt:lpstr>'Dati ventilacija'!Tvertnesapkure1</vt:lpstr>
      <vt:lpstr>Tvertnesapkure1</vt:lpstr>
      <vt:lpstr>'Dati karstais'!Veidsapk</vt:lpstr>
      <vt:lpstr>Veidsapk</vt:lpstr>
      <vt:lpstr>'Dati apgaismojums'!Ventilacijapec</vt:lpstr>
      <vt:lpstr>'Dati iekārtas'!Ventilacijapec</vt:lpstr>
      <vt:lpstr>Ventilacijapec</vt:lpstr>
      <vt:lpstr>'Dati apgaismojums'!Ventilacijapirms</vt:lpstr>
      <vt:lpstr>'Dati iekārtas'!Ventilacijapirms</vt:lpstr>
      <vt:lpstr>Ventilacijapirms</vt:lpstr>
      <vt:lpstr>Zinojums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Kārlis Beihmanis</dc:creator>
  <cp:lastModifiedBy>Ieva Kārkliņa</cp:lastModifiedBy>
  <cp:lastPrinted>2015-04-13T11:39:29Z</cp:lastPrinted>
  <dcterms:created xsi:type="dcterms:W3CDTF">2014-09-10T05:49:00Z</dcterms:created>
  <dcterms:modified xsi:type="dcterms:W3CDTF">2022-01-03T07:38:02Z</dcterms:modified>
</cp:coreProperties>
</file>